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6" rupBuild="9303"/>
  <workbookPr/>
  <bookViews>
    <workbookView xWindow="1560" yWindow="1560" windowWidth="20730" windowHeight="11385" firstSheet="3" activeTab="3"/>
  </bookViews>
  <sheets>
    <sheet name="нормы" sheetId="1" state="hidden" r:id="rId2"/>
    <sheet name="расчет сентябрь" sheetId="2" state="hidden" r:id="rId3"/>
    <sheet name="расчет весна" sheetId="4" state="hidden" r:id="rId4"/>
    <sheet name="меню 1-4 класс" sheetId="3" r:id="rId5"/>
  </sheets>
  <definedNames>
    <definedName name="_GoBack" localSheetId="0">нормы!#REF!</definedName>
    <definedName name="_Hlk99779280" localSheetId="0">нормы!$M$3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8" i="1" l="1"/>
</calcChain>
</file>

<file path=xl/sharedStrings.xml><?xml version="1.0" encoding="utf-8"?>
<sst xmlns="http://schemas.openxmlformats.org/spreadsheetml/2006/main" count="1529" uniqueCount="348">
  <si>
    <t>№</t>
  </si>
  <si>
    <t>п/п</t>
  </si>
  <si>
    <t>Наименование группы пищевой продукции (ассортимент – по СанПиН 2.3/2 4.3590-20)</t>
  </si>
  <si>
    <r>
      <t>Фактическое количество пищевой продукции (</t>
    </r>
    <r>
      <rPr>
        <b/>
        <sz val="12"/>
        <color rgb="FF000000"/>
        <rFont val="Times New Roman"/>
        <family val="1"/>
        <charset val="204"/>
      </rPr>
      <t>БРУТТО</t>
    </r>
    <r>
      <rPr>
        <sz val="12"/>
        <color rgb="FF000000"/>
        <rFont val="Times New Roman"/>
        <family val="1"/>
        <charset val="204"/>
      </rPr>
      <t xml:space="preserve">) по дням в граммах на </t>
    </r>
    <r>
      <rPr>
        <b/>
        <sz val="12"/>
        <color rgb="FF000000"/>
        <rFont val="Times New Roman"/>
        <family val="1"/>
        <charset val="204"/>
      </rPr>
      <t>одного</t>
    </r>
    <r>
      <rPr>
        <sz val="12"/>
        <color rgb="FF000000"/>
        <rFont val="Times New Roman"/>
        <family val="1"/>
        <charset val="204"/>
      </rPr>
      <t xml:space="preserve"> человека, г</t>
    </r>
  </si>
  <si>
    <t>Сметана</t>
  </si>
  <si>
    <t>Масло растительное</t>
  </si>
  <si>
    <t>Картофель</t>
  </si>
  <si>
    <t>Кондитерские изделия</t>
  </si>
  <si>
    <t>Чай</t>
  </si>
  <si>
    <t>Сухофрукты</t>
  </si>
  <si>
    <t>Фрукты  свежие</t>
  </si>
  <si>
    <t>Среднесуточный расход за 1 прием пищи</t>
  </si>
  <si>
    <t>Всего за 10 дней, г (фактический рацион)</t>
  </si>
  <si>
    <t>Макаронные изделия</t>
  </si>
  <si>
    <t>Масло сливочное</t>
  </si>
  <si>
    <t>Сыр</t>
  </si>
  <si>
    <t>Какао-порошок</t>
  </si>
  <si>
    <t>Кофейный напиток</t>
  </si>
  <si>
    <t>Хлеб пшеничный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</si>
  <si>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</si>
  <si>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</si>
  <si>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</si>
  <si>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</si>
  <si>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</si>
  <si>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</si>
  <si>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</si>
  <si>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</si>
  <si>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</si>
  <si>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</si>
  <si>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 xml:space="preserve">Среднесуточный расход пищевых продуктов по меню </t>
  </si>
  <si>
    <t>Приложение</t>
  </si>
  <si>
    <t>Итого за завтрак (или обед)</t>
  </si>
  <si>
    <t xml:space="preserve"> ИТОГО:</t>
  </si>
  <si>
    <t>Хлеб ржаной</t>
  </si>
  <si>
    <t>Мука пшеничная</t>
  </si>
  <si>
    <t xml:space="preserve">Рис </t>
  </si>
  <si>
    <t>Крупа гречневая</t>
  </si>
  <si>
    <t>Крупа манная</t>
  </si>
  <si>
    <t>Крупы овсяная и перловая</t>
  </si>
  <si>
    <t>Пшено</t>
  </si>
  <si>
    <t>Горох и фасоль</t>
  </si>
  <si>
    <t>Овсяные хлопья "Геркулес"</t>
  </si>
  <si>
    <t>Овощи (свежие, мороженые, консервированные) включая соленые и квашеные*, в т.ч. томат-пюре, зелень, г</t>
  </si>
  <si>
    <t>Капуста белокочанная свежая</t>
  </si>
  <si>
    <t>Лук репчатый</t>
  </si>
  <si>
    <t>Морковь</t>
  </si>
  <si>
    <t>Зелень свежая</t>
  </si>
  <si>
    <t>Свекла столовая</t>
  </si>
  <si>
    <t>Огурцы свежие</t>
  </si>
  <si>
    <t>Помидоры свежие</t>
  </si>
  <si>
    <t>Яблоки</t>
  </si>
  <si>
    <t>Груши</t>
  </si>
  <si>
    <t>Бананы</t>
  </si>
  <si>
    <t>Апельсины</t>
  </si>
  <si>
    <t>Ягоды замороженные</t>
  </si>
  <si>
    <t>Лимоны</t>
  </si>
  <si>
    <t>Соки плодовоовощные, напитки витаминизированные, в т.ч. инстантные</t>
  </si>
  <si>
    <t>Субпродукты (печень, язык, сердце)</t>
  </si>
  <si>
    <t>Птица (цыплята-бройлеры потрошеные - 1 кат)</t>
  </si>
  <si>
    <t>Рыба (филе), в т.ч. филе слабо или малосоленое</t>
  </si>
  <si>
    <t>Яйцо, шт.</t>
  </si>
  <si>
    <t>Дрожжи хлебопекарные</t>
  </si>
  <si>
    <t>Крахмал</t>
  </si>
  <si>
    <t>Специи</t>
  </si>
  <si>
    <t>Крупы, бобовые</t>
  </si>
  <si>
    <t xml:space="preserve">Молоко </t>
  </si>
  <si>
    <t>Кисломолочная пищевая продукция</t>
  </si>
  <si>
    <t>Творог (5% - 9% м.д.ж.)</t>
  </si>
  <si>
    <t>Сахар (в том числе для …..)</t>
  </si>
  <si>
    <t>Соль пищевая поваренная йодированная</t>
  </si>
  <si>
    <t>Мясо 1-й категории</t>
  </si>
  <si>
    <t>завтрак</t>
  </si>
  <si>
    <t>обед</t>
  </si>
  <si>
    <t>Установленная стоимость питания всего (руб.), в том числе:</t>
  </si>
  <si>
    <t>Разамер выделенной федеральной субсидии на БГП в 2023 году для субъекта (руб.)</t>
  </si>
  <si>
    <t xml:space="preserve">                управления образования </t>
  </si>
  <si>
    <t xml:space="preserve">       администрации муниципального района </t>
  </si>
  <si>
    <t xml:space="preserve">                   «Корочанский район»                                                   </t>
  </si>
  <si>
    <t>Е.В. Коробкова</t>
  </si>
  <si>
    <t xml:space="preserve">                Заместитель начальника  </t>
  </si>
  <si>
    <t>Цена</t>
  </si>
  <si>
    <t>Средняя цена на 1 учащ-ся</t>
  </si>
  <si>
    <t>Софинансирование 24 %</t>
  </si>
  <si>
    <t>Сухари</t>
  </si>
  <si>
    <t>суточная норма СанПиН</t>
  </si>
  <si>
    <r>
      <t>норма на завтрак 20-</t>
    </r>
    <r>
      <rPr>
        <b/>
        <sz val="11"/>
        <color rgb="FFFF0000"/>
        <rFont val="Times New Roman"/>
        <family val="1"/>
        <charset val="204"/>
      </rPr>
      <t>25%</t>
    </r>
  </si>
  <si>
    <t>отклонение</t>
  </si>
  <si>
    <t xml:space="preserve">норма мин-во </t>
  </si>
  <si>
    <t>яйцо 2 с по 45 гр    1с по 55 гр</t>
  </si>
  <si>
    <t>2с=</t>
  </si>
  <si>
    <t>средняя стоимость</t>
  </si>
  <si>
    <t>выход порции</t>
  </si>
  <si>
    <t>цена за кг</t>
  </si>
  <si>
    <t>сумма</t>
  </si>
  <si>
    <t>яблоко</t>
  </si>
  <si>
    <t>пн</t>
  </si>
  <si>
    <t>сыр твердый</t>
  </si>
  <si>
    <t>каша геркулесовая</t>
  </si>
  <si>
    <t>Наименование сырья</t>
  </si>
  <si>
    <t>Расход сырья и полуфабрикатов</t>
  </si>
  <si>
    <t>Брутто, г</t>
  </si>
  <si>
    <t>Нетто, г</t>
  </si>
  <si>
    <t>Крупа овсяная "Геркулес"</t>
  </si>
  <si>
    <t>Молоко</t>
  </si>
  <si>
    <t>Вода</t>
  </si>
  <si>
    <t>Масло сливочное</t>
  </si>
  <si>
    <t>Соль йодированная</t>
  </si>
  <si>
    <t>Сахар</t>
  </si>
  <si>
    <t>Выход готового блюда</t>
  </si>
  <si>
    <t>-</t>
  </si>
  <si>
    <t>какао с молоком</t>
  </si>
  <si>
    <t>Сахар-песок</t>
  </si>
  <si>
    <t>хлеб пшеничный</t>
  </si>
  <si>
    <t>вт</t>
  </si>
  <si>
    <t>Котлеты, биточки, шницели (2 вариант)</t>
  </si>
  <si>
    <t>Говядина (котлетное мясо)</t>
  </si>
  <si>
    <t>или Вода</t>
  </si>
  <si>
    <t>Хлеб пшеничный</t>
  </si>
  <si>
    <t>Сухари панировочные</t>
  </si>
  <si>
    <t>~ Масса полуфабриката</t>
  </si>
  <si>
    <t>~ Масло растительное для запекания</t>
  </si>
  <si>
    <t>~ Масса готового блюда</t>
  </si>
  <si>
    <t>~ Соус томатный:</t>
  </si>
  <si>
    <t>Бульон мясной</t>
  </si>
  <si>
    <t>Соль пищевая йодированная</t>
  </si>
  <si>
    <t>Сахарный песок</t>
  </si>
  <si>
    <t>Томат-паста</t>
  </si>
  <si>
    <t>Выход</t>
  </si>
  <si>
    <t>Рис отварной с маслом сливочным</t>
  </si>
  <si>
    <t>Крупа рисовая</t>
  </si>
  <si>
    <t xml:space="preserve">Кофейный напиток на молоке </t>
  </si>
  <si>
    <t>Кофейный напиток растворимый</t>
  </si>
  <si>
    <t>ср</t>
  </si>
  <si>
    <t>Салат из моркови с яблоками.</t>
  </si>
  <si>
    <t>Яблоки свежие</t>
  </si>
  <si>
    <t>Джем фруктовый с кусочками фруктов</t>
  </si>
  <si>
    <t>повидло</t>
  </si>
  <si>
    <t>Запеканка из творога</t>
  </si>
  <si>
    <t>Творог</t>
  </si>
  <si>
    <t>Яйцо</t>
  </si>
  <si>
    <t>Ванилин</t>
  </si>
  <si>
    <t>Чай с сахаром</t>
  </si>
  <si>
    <t>батон пшеничный</t>
  </si>
  <si>
    <t>груша</t>
  </si>
  <si>
    <t>чт</t>
  </si>
  <si>
    <t>Говядина по ГОСТ Р 54754</t>
  </si>
  <si>
    <t>Яйцо куриное</t>
  </si>
  <si>
    <t xml:space="preserve">Масло растительное </t>
  </si>
  <si>
    <t>Макароны отварные с маслом сливочным</t>
  </si>
  <si>
    <t>Чай с лимоном</t>
  </si>
  <si>
    <t>Лимон</t>
  </si>
  <si>
    <t>200/4</t>
  </si>
  <si>
    <t>пт</t>
  </si>
  <si>
    <t>Омлет натуральный с маслом</t>
  </si>
  <si>
    <t>Яйцо С-1 (столовое)</t>
  </si>
  <si>
    <t>Яблоко свежее</t>
  </si>
  <si>
    <t>суббота</t>
  </si>
  <si>
    <t>банан</t>
  </si>
  <si>
    <t>Банан</t>
  </si>
  <si>
    <t>Палочки мясные Детские запеченные</t>
  </si>
  <si>
    <t>Мясо котлетное свиное по ГОСТ Р 54754</t>
  </si>
  <si>
    <t xml:space="preserve">Хлеб пшеничный </t>
  </si>
  <si>
    <t xml:space="preserve">Лук репчатый </t>
  </si>
  <si>
    <t>Картофельное пюре с маслом сливочным</t>
  </si>
  <si>
    <t>Картофель свежий</t>
  </si>
  <si>
    <t>Сок</t>
  </si>
  <si>
    <t xml:space="preserve">Сок или нектар или морс или напиток сокосодержащий </t>
  </si>
  <si>
    <t>Апельсин свежий</t>
  </si>
  <si>
    <t>Апельсин</t>
  </si>
  <si>
    <t>Сыр твердо-мягкий порционно</t>
  </si>
  <si>
    <t>Сыр твердо-мягкий с м.д.ж. 45%</t>
  </si>
  <si>
    <t>Каша гречневая молочная с маслом</t>
  </si>
  <si>
    <t>,</t>
  </si>
  <si>
    <t>Салат из моркови</t>
  </si>
  <si>
    <t>морковь</t>
  </si>
  <si>
    <t>сахарный песок</t>
  </si>
  <si>
    <t>растительное масло</t>
  </si>
  <si>
    <t>Фрикадельки из говядины, тушеные в соусе</t>
  </si>
  <si>
    <t>Соус молочный для запекания № 434</t>
  </si>
  <si>
    <t>Каша "Дружба" с маслом сливочным</t>
  </si>
  <si>
    <t>Крупа пшено</t>
  </si>
  <si>
    <t>Запеканка творожно-рисовая с маслом сливочным</t>
  </si>
  <si>
    <t>Творог 5%</t>
  </si>
  <si>
    <t>Тефтели из говядины</t>
  </si>
  <si>
    <t>~ Пассерованный лук</t>
  </si>
  <si>
    <t>~ Масса готовых тефтелей</t>
  </si>
  <si>
    <t>~ Соус томатный</t>
  </si>
  <si>
    <t>Приложение 8 к СанПиН 2.3/2.4.3590-20</t>
  </si>
  <si>
    <t>Примерное меню и пищевая ценность приготовляемых блюд</t>
  </si>
  <si>
    <t xml:space="preserve">Рацион: Школа </t>
  </si>
  <si>
    <t>понедельник</t>
  </si>
  <si>
    <t>Сезон:</t>
  </si>
  <si>
    <t>осенне-весенний</t>
  </si>
  <si>
    <t>ПРИМЕЧАНИЕ: * замена</t>
  </si>
  <si>
    <t>Неделя:</t>
  </si>
  <si>
    <t>Возраст:</t>
  </si>
  <si>
    <t>7-11 лет</t>
  </si>
  <si>
    <t>№ рец. по сборнику</t>
  </si>
  <si>
    <t>Прием пищи, наименование блюда</t>
  </si>
  <si>
    <t>Масса порции</t>
  </si>
  <si>
    <t>Пищевые вещества (г)</t>
  </si>
  <si>
    <t>Энерге-</t>
  </si>
  <si>
    <t>Витамины (мг)</t>
  </si>
  <si>
    <t>Минеральные вещества (мг)</t>
  </si>
  <si>
    <t>Б</t>
  </si>
  <si>
    <t>Ж</t>
  </si>
  <si>
    <t>У</t>
  </si>
  <si>
    <t>тическая ценность (ккал)</t>
  </si>
  <si>
    <t>B1</t>
  </si>
  <si>
    <t>В2</t>
  </si>
  <si>
    <t>C</t>
  </si>
  <si>
    <t>A</t>
  </si>
  <si>
    <t>E</t>
  </si>
  <si>
    <t>Ca</t>
  </si>
  <si>
    <t>P</t>
  </si>
  <si>
    <t>ZN</t>
  </si>
  <si>
    <t>I</t>
  </si>
  <si>
    <t>Mg</t>
  </si>
  <si>
    <t>Fe</t>
  </si>
  <si>
    <t>Завтрак молочный</t>
  </si>
  <si>
    <t>Фрукт порционно / Яблоко 1 шт.</t>
  </si>
  <si>
    <t>Сыр твердо-мягкий порционно с м.д.ж. 45%</t>
  </si>
  <si>
    <t>Каша геркулесовая молочная с маслом сливочным</t>
  </si>
  <si>
    <t xml:space="preserve">Какао с молоком </t>
  </si>
  <si>
    <t>ПР</t>
  </si>
  <si>
    <t>Итого за Завтрак молочный</t>
  </si>
  <si>
    <t>% от суточной нормы</t>
  </si>
  <si>
    <t>Обед (полноценный рацион питания)</t>
  </si>
  <si>
    <t>* 47</t>
  </si>
  <si>
    <t>Салат из квашенной капусты</t>
  </si>
  <si>
    <t>Салат из белокочанной капусты с морковью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</si>
  <si>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</si>
  <si>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</si>
  <si>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</si>
  <si>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200//4</t>
  </si>
  <si>
    <t>Хлеб ржано-пшеничный</t>
  </si>
  <si>
    <t>Итого за Обед (полноценный рацион питания)</t>
  </si>
  <si>
    <t>Полдник</t>
  </si>
  <si>
    <t>Булочка "Веснушка"</t>
  </si>
  <si>
    <t xml:space="preserve">Компот из смеси сухофруктов     С- витаминизированный </t>
  </si>
  <si>
    <t>Итого за Полдник</t>
  </si>
  <si>
    <t>Итого в день</t>
  </si>
  <si>
    <t>суточная норма</t>
  </si>
  <si>
    <t>Примерное меню и пищевая ценность приготовляемых блюд (лист 2)</t>
  </si>
  <si>
    <t>вторник</t>
  </si>
  <si>
    <t>рец.</t>
  </si>
  <si>
    <t>Завтрак мясной</t>
  </si>
  <si>
    <t xml:space="preserve">Холодная закуска: Овощи порционно / Огурец </t>
  </si>
  <si>
    <t>451 (ДС)</t>
  </si>
  <si>
    <t xml:space="preserve">Рис отварной с маслом сливочным </t>
  </si>
  <si>
    <t>Кофейный напиток на молоке</t>
  </si>
  <si>
    <t>Итого за Завтрак мясной</t>
  </si>
  <si>
    <t>Салат из свеклы с маслом растительным</t>
  </si>
  <si>
    <t>Суп картофельный с крупой (гречневой)</t>
  </si>
  <si>
    <t>4/7</t>
  </si>
  <si>
    <t xml:space="preserve">Рыба, тушенная с овощами </t>
  </si>
  <si>
    <t xml:space="preserve">Картофельное пюре с маслом сливочным </t>
  </si>
  <si>
    <t xml:space="preserve">Булочка сдобная </t>
  </si>
  <si>
    <t>Кисломолочный напиток / Кефир</t>
  </si>
  <si>
    <t>ПРИМЕЧАНИЕ ** могут быть использованы нектары, морсы, напитки сокосодержащие (в т.ч. обогащенные)</t>
  </si>
  <si>
    <t>Примерное меню и пищевая ценность приготовляемых блюд (лист 3)</t>
  </si>
  <si>
    <t>Рацион: Школа</t>
  </si>
  <si>
    <t>среда</t>
  </si>
  <si>
    <t>Салат из моркови с яблоком</t>
  </si>
  <si>
    <t>б/н</t>
  </si>
  <si>
    <t>Повидло</t>
  </si>
  <si>
    <t>54-1т-20</t>
  </si>
  <si>
    <t xml:space="preserve">Батон пшеничный </t>
  </si>
  <si>
    <t>* 21</t>
  </si>
  <si>
    <t>Салат из солёных огурцов с луком</t>
  </si>
  <si>
    <t xml:space="preserve">Салат из свежих помидоров и огурцов с растительным маслом </t>
  </si>
  <si>
    <t>Борщ с капустой и картофелем</t>
  </si>
  <si>
    <t>Плов с птицей</t>
  </si>
  <si>
    <t xml:space="preserve">Компот из свежих яблок и лимона </t>
  </si>
  <si>
    <t>Булочка творожная</t>
  </si>
  <si>
    <t>Примерное меню и пищевая ценность приготовляемых блюд (лист 4)</t>
  </si>
  <si>
    <t>четверг</t>
  </si>
  <si>
    <t>Фрукт порционно / Груша 1 шт.</t>
  </si>
  <si>
    <t>Макаронный изделия с маслом сливочным</t>
  </si>
  <si>
    <t>Икра кабачковая</t>
  </si>
  <si>
    <t xml:space="preserve">Рассольник "Ленинградский" с крупой перловой </t>
  </si>
  <si>
    <t>Бифштекс рубленый "Детский"</t>
  </si>
  <si>
    <t>Булочка "Декор Сложный"</t>
  </si>
  <si>
    <t>Сок фруктовый**</t>
  </si>
  <si>
    <t>Примерное меню и пищевая ценность приготовляемых блюд (лист 5)</t>
  </si>
  <si>
    <t>пятница</t>
  </si>
  <si>
    <t>осенне- весенний</t>
  </si>
  <si>
    <t xml:space="preserve">Омлет натуральный с маслом сливочным </t>
  </si>
  <si>
    <t>Фрукт порционно / Яблоко 1шт</t>
  </si>
  <si>
    <t>138 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</si>
  <si>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</si>
  <si>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</si>
  <si>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</si>
  <si>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</si>
  <si>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Кисель из концентрата на плодовых или ягодных экстрактах</t>
  </si>
  <si>
    <t>Итого средняя за завтрак в неделю</t>
  </si>
  <si>
    <t>Итого средняя за обед в неделю</t>
  </si>
  <si>
    <t>Итого средняя за полдник в неделю</t>
  </si>
  <si>
    <t>Итого  в день за 1 -ую неделю</t>
  </si>
  <si>
    <t>Примерное меню и пищевая ценность приготовляемых блюд (лист 6)</t>
  </si>
  <si>
    <t>Фрукт порционно / Апельсин 1 шт</t>
  </si>
  <si>
    <t xml:space="preserve">Каша гречневая молочная с маслом сливочным </t>
  </si>
  <si>
    <t>Батон пшеничный</t>
  </si>
  <si>
    <t>Борщ "Сибирский" с фасолью</t>
  </si>
  <si>
    <t>Макаронные изделия с маслом сливочным</t>
  </si>
  <si>
    <t>Примерное меню и пищевая ценность приготовляемых блюд (лист 7)</t>
  </si>
  <si>
    <t>Винегрет овощной</t>
  </si>
  <si>
    <t>Суп-лапша домашняя с птицей отварной</t>
  </si>
  <si>
    <t>200//10</t>
  </si>
  <si>
    <t xml:space="preserve">Птица, порционная запечённая </t>
  </si>
  <si>
    <t>Капуста тушеная</t>
  </si>
  <si>
    <t xml:space="preserve">Компот из смеси сухофруктов С- витаминизированный </t>
  </si>
  <si>
    <t>Примерное меню и пищевая ценность приготовляемых блюд (лист 8)</t>
  </si>
  <si>
    <t>*336</t>
  </si>
  <si>
    <t>Морковь припущенная</t>
  </si>
  <si>
    <t>Суп картофельный с крупой (рис)</t>
  </si>
  <si>
    <t xml:space="preserve">Жаркое по- домашнему </t>
  </si>
  <si>
    <t>Примерное меню и пищевая ценность приготовляемых блюд (лист 9)</t>
  </si>
  <si>
    <t>*115</t>
  </si>
  <si>
    <t>Икра кабачковая (промышленного производства)</t>
  </si>
  <si>
    <t xml:space="preserve">Тефтели "Детские" под овощным соусом </t>
  </si>
  <si>
    <t>80/20</t>
  </si>
  <si>
    <t xml:space="preserve">Кофейный напиток с сахаром  </t>
  </si>
  <si>
    <t>Щи из свежей капусты с картофелем</t>
  </si>
  <si>
    <t xml:space="preserve">Рыба, запеченная под соусом </t>
  </si>
  <si>
    <t>Примерное меню и пищевая ценность приготовляемых блюд (лист 10)</t>
  </si>
  <si>
    <t xml:space="preserve">Суп картофельный с вермишелью </t>
  </si>
  <si>
    <t>Каша гречневая рассыпчатая с маслом</t>
  </si>
  <si>
    <t>Итого  в день за 2 -ую неделю</t>
  </si>
  <si>
    <t>ГУЛЯШ ИЗ КУРИНОГО ФИЛЕ.</t>
  </si>
  <si>
    <t>Куриное филе (грудка)</t>
  </si>
  <si>
    <t>Лук</t>
  </si>
  <si>
    <t>Мука</t>
  </si>
  <si>
    <t>Томат паста</t>
  </si>
  <si>
    <t>Соль</t>
  </si>
  <si>
    <t>огурец консервированный</t>
  </si>
  <si>
    <t>огурец консервированный 40</t>
  </si>
  <si>
    <t>огурец свежий</t>
  </si>
  <si>
    <t>Холодная закуска: Овощи порционно / Огурец  свежий</t>
  </si>
  <si>
    <t>Холодная закуска: огурец консервированный</t>
  </si>
  <si>
    <t>19 *</t>
  </si>
  <si>
    <t xml:space="preserve">огурец консервированный </t>
  </si>
  <si>
    <t xml:space="preserve">яблоко свежее </t>
  </si>
  <si>
    <t xml:space="preserve">Холодная закуска: Овощи порционно / Огурец свежий </t>
  </si>
  <si>
    <t>338 *</t>
  </si>
  <si>
    <t>икра кабачковая</t>
  </si>
  <si>
    <r>
      <t xml:space="preserve">Фрукт порционно / </t>
    </r>
    <r>
      <rPr>
        <sz val="10"/>
        <color rgb="FFFF0000"/>
        <rFont val="Times New Roman"/>
        <family val="1"/>
        <charset val="204"/>
      </rPr>
      <t>Банан</t>
    </r>
    <r>
      <rPr>
        <sz val="10"/>
        <color theme="1"/>
        <rFont val="Times New Roman"/>
        <family val="1"/>
        <charset val="204"/>
      </rPr>
      <t xml:space="preserve"> 1 шт.</t>
    </r>
  </si>
  <si>
    <t>338*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</si>
</sst>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[$-419]d\ mmm;@"/>
    <numFmt numFmtId="167" formatCode="0&quot; порц&quot;"/>
    <numFmt numFmtId="168" formatCode="0.0%"/>
  </numFmts>
  <fonts count="3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8"/>
      <name val="Arial"/>
      <family val="2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8"/>
      <color rgb="FFFF0000"/>
      <name val="Arial"/>
      <family val="2"/>
    </font>
    <font>
      <u val="single"/>
      <sz val="10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5"/>
      <color rgb="FF000000"/>
      <name val="Arial Unicode MS"/>
      <family val="2"/>
      <charset val="204"/>
    </font>
    <font>
      <sz val="10"/>
      <name val="Arial"/>
      <family val="2"/>
    </font>
    <font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7" tint="0.5999900102615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3" tint="0.79997998476028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3" tint="0.599990010261536"/>
        <bgColor indexed="64"/>
      </patternFill>
    </fill>
    <fill>
      <patternFill patternType="solid">
        <fgColor theme="9" tint="-0.249960005283356"/>
        <bgColor indexed="64"/>
      </patternFill>
    </fill>
    <fill>
      <patternFill patternType="solid">
        <fgColor theme="0" tint="-0.249960005283356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hair">
        <color auto="1"/>
      </bottom>
    </border>
    <border>
      <left style="thin">
        <color auto="1"/>
      </left>
      <right/>
      <top style="thin">
        <color auto="1"/>
      </top>
      <bottom style="hair">
        <color auto="1"/>
      </bottom>
    </border>
    <border>
      <left/>
      <right style="thin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/>
      <top style="hair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/>
      <top style="hair">
        <color auto="1"/>
      </top>
      <bottom style="thin">
        <color auto="1"/>
      </bottom>
    </border>
    <border>
      <left/>
      <right style="thin">
        <color auto="1"/>
      </right>
      <top style="hair">
        <color auto="1"/>
      </top>
      <bottom style="thin">
        <color auto="1"/>
      </bottom>
    </border>
    <border>
      <left/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hair">
        <color auto="1"/>
      </bottom>
    </border>
    <border>
      <left/>
      <right style="thin">
        <color auto="1"/>
      </right>
      <top/>
      <bottom style="hair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hair">
        <color auto="1"/>
      </top>
      <bottom style="hair">
        <color auto="1"/>
      </bottom>
    </border>
    <border>
      <left style="thin">
        <color auto="1"/>
      </left>
      <right/>
      <top style="hair">
        <color auto="1"/>
      </top>
      <bottom/>
    </border>
    <border>
      <left/>
      <right style="thin">
        <color auto="1"/>
      </right>
      <top style="hair">
        <color auto="1"/>
      </top>
      <bottom/>
    </border>
    <border>
      <left/>
      <right/>
      <top style="thin">
        <color auto="1"/>
      </top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1" fillId="0" borderId="0">
      <alignment/>
      <protection/>
    </xf>
  </cellStyleXfs>
  <cellXfs count="36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4" fillId="2" borderId="3" xfId="0" applyFont="1" applyFill="1" applyBorder="1"/>
    <xf numFmtId="0" fontId="2" fillId="3" borderId="3" xfId="0" applyFont="1" applyFill="1" applyBorder="1" applyAlignment="1">
      <alignment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10" fillId="0" borderId="0" xfId="0" applyFont="1" applyAlignment="1">
      <alignment horizontal="right"/>
    </xf>
    <xf numFmtId="0" fontId="10" fillId="0" borderId="0" xfId="0" applyFont="1"/>
    <xf numFmtId="0" fontId="11" fillId="3" borderId="3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vertical="center" wrapText="1"/>
    </xf>
    <xf numFmtId="164" fontId="5" fillId="2" borderId="3" xfId="0" applyNumberFormat="1" applyFont="1" applyFill="1" applyBorder="1" applyAlignment="1">
      <alignment horizontal="center" vertical="center"/>
    </xf>
    <xf numFmtId="164" fontId="7" fillId="5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right" vertical="center" wrapText="1"/>
    </xf>
    <xf numFmtId="2" fontId="4" fillId="2" borderId="3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3" xfId="0" applyFont="1" applyBorder="1"/>
    <xf numFmtId="0" fontId="12" fillId="0" borderId="3" xfId="0" applyFont="1" applyBorder="1"/>
    <xf numFmtId="164" fontId="13" fillId="2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2" fillId="0" borderId="0" xfId="0" applyFont="1"/>
    <xf numFmtId="0" fontId="14" fillId="0" borderId="0" xfId="0" applyFont="1"/>
    <xf numFmtId="0" fontId="14" fillId="0" borderId="0" xfId="0" applyFont="1" applyAlignment="1">
      <alignment horizontal="center" vertical="top"/>
    </xf>
    <xf numFmtId="165" fontId="15" fillId="0" borderId="3" xfId="0" applyNumberFormat="1" applyFont="1" applyBorder="1" applyAlignment="1">
      <alignment horizontal="center" vertical="center" wrapText="1"/>
    </xf>
    <xf numFmtId="0" fontId="15" fillId="7" borderId="3" xfId="0" applyFont="1" applyFill="1" applyBorder="1" applyAlignment="1">
      <alignment vertical="center" wrapText="1"/>
    </xf>
    <xf numFmtId="165" fontId="15" fillId="7" borderId="3" xfId="0" applyNumberFormat="1" applyFont="1" applyFill="1" applyBorder="1" applyAlignment="1">
      <alignment horizontal="center" vertical="center" wrapText="1"/>
    </xf>
    <xf numFmtId="164" fontId="14" fillId="7" borderId="3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12" fillId="7" borderId="3" xfId="0" applyFont="1" applyFill="1" applyBorder="1"/>
    <xf numFmtId="0" fontId="12" fillId="7" borderId="3" xfId="0" applyFont="1" applyFill="1" applyBorder="1" applyAlignment="1">
      <alignment horizontal="center" vertical="top"/>
    </xf>
    <xf numFmtId="0" fontId="2" fillId="7" borderId="3" xfId="0" applyFont="1" applyFill="1" applyBorder="1" applyAlignment="1">
      <alignment vertical="center" wrapText="1"/>
    </xf>
    <xf numFmtId="165" fontId="2" fillId="7" borderId="3" xfId="0" applyNumberFormat="1" applyFont="1" applyFill="1" applyBorder="1" applyAlignment="1">
      <alignment horizontal="center" vertical="center" wrapText="1"/>
    </xf>
    <xf numFmtId="164" fontId="5" fillId="7" borderId="3" xfId="0" applyNumberFormat="1" applyFont="1" applyFill="1" applyBorder="1" applyAlignment="1">
      <alignment horizontal="center" vertical="center"/>
    </xf>
    <xf numFmtId="0" fontId="4" fillId="7" borderId="0" xfId="0" applyFont="1" applyFill="1"/>
    <xf numFmtId="0" fontId="4" fillId="7" borderId="3" xfId="0" applyFont="1" applyFill="1" applyBorder="1"/>
    <xf numFmtId="0" fontId="4" fillId="7" borderId="3" xfId="0" applyFont="1" applyFill="1" applyBorder="1" applyAlignment="1">
      <alignment horizontal="center" vertical="top"/>
    </xf>
    <xf numFmtId="0" fontId="3" fillId="7" borderId="3" xfId="0" applyFont="1" applyFill="1" applyBorder="1" applyAlignment="1">
      <alignment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164" fontId="16" fillId="0" borderId="0" xfId="0" applyNumberFormat="1" applyFont="1" applyAlignment="1">
      <alignment vertical="top"/>
    </xf>
    <xf numFmtId="165" fontId="15" fillId="8" borderId="3" xfId="0" applyNumberFormat="1" applyFont="1" applyFill="1" applyBorder="1" applyAlignment="1">
      <alignment horizontal="center" vertical="center" wrapText="1"/>
    </xf>
    <xf numFmtId="0" fontId="16" fillId="0" borderId="0" xfId="0" applyFont="1"/>
    <xf numFmtId="2" fontId="15" fillId="0" borderId="0" xfId="0" applyNumberFormat="1" applyFont="1"/>
    <xf numFmtId="0" fontId="17" fillId="0" borderId="0" xfId="0" applyFont="1"/>
    <xf numFmtId="0" fontId="9" fillId="9" borderId="0" xfId="0" applyFont="1" applyFill="1" applyAlignment="1">
      <alignment horizontal="center" vertical="top" wrapText="1"/>
    </xf>
    <xf numFmtId="2" fontId="9" fillId="9" borderId="0" xfId="0" applyNumberFormat="1" applyFont="1" applyFill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2" fontId="4" fillId="3" borderId="0" xfId="0" applyNumberFormat="1" applyFont="1" applyFill="1"/>
    <xf numFmtId="2" fontId="16" fillId="3" borderId="0" xfId="0" applyNumberFormat="1" applyFont="1" applyFill="1"/>
    <xf numFmtId="0" fontId="0" fillId="0" borderId="7" xfId="0" applyFont="1" applyBorder="1"/>
    <xf numFmtId="165" fontId="0" fillId="0" borderId="8" xfId="0" applyNumberFormat="1" applyFont="1" applyBorder="1" applyAlignment="1">
      <alignment/>
    </xf>
    <xf numFmtId="165" fontId="0" fillId="0" borderId="9" xfId="0" applyNumberFormat="1" applyFont="1" applyBorder="1" applyAlignment="1">
      <alignment/>
    </xf>
    <xf numFmtId="0" fontId="0" fillId="0" borderId="10" xfId="0" applyFont="1" applyBorder="1" applyAlignment="1">
      <alignment horizontal="left"/>
    </xf>
    <xf numFmtId="165" fontId="0" fillId="0" borderId="10" xfId="0" applyNumberFormat="1" applyFont="1" applyBorder="1" applyAlignment="1">
      <alignment/>
    </xf>
    <xf numFmtId="165" fontId="0" fillId="0" borderId="11" xfId="0" applyNumberFormat="1" applyFont="1" applyBorder="1" applyAlignment="1">
      <alignment/>
    </xf>
    <xf numFmtId="165" fontId="0" fillId="0" borderId="12" xfId="0" applyNumberFormat="1" applyFont="1" applyBorder="1" applyAlignment="1">
      <alignment/>
    </xf>
    <xf numFmtId="165" fontId="0" fillId="0" borderId="13" xfId="0" applyNumberFormat="1" applyFont="1" applyBorder="1" applyAlignment="1">
      <alignment/>
    </xf>
    <xf numFmtId="0" fontId="16" fillId="0" borderId="0" xfId="0" applyFont="1" applyAlignment="1">
      <alignment vertical="top"/>
    </xf>
    <xf numFmtId="0" fontId="0" fillId="0" borderId="3" xfId="0" applyNumberFormat="1" applyFont="1" applyBorder="1" applyAlignment="1">
      <alignment horizontal="left"/>
    </xf>
    <xf numFmtId="0" fontId="4" fillId="3" borderId="0" xfId="0" applyFont="1" applyFill="1"/>
    <xf numFmtId="0" fontId="20" fillId="0" borderId="7" xfId="0" applyFont="1" applyBorder="1"/>
    <xf numFmtId="2" fontId="20" fillId="0" borderId="8" xfId="0" applyNumberFormat="1" applyFont="1" applyBorder="1" applyAlignment="1">
      <alignment/>
    </xf>
    <xf numFmtId="2" fontId="20" fillId="0" borderId="9" xfId="0" applyNumberFormat="1" applyFont="1" applyBorder="1" applyAlignment="1">
      <alignment/>
    </xf>
    <xf numFmtId="0" fontId="20" fillId="0" borderId="10" xfId="0" applyFont="1" applyBorder="1" applyAlignment="1">
      <alignment horizontal="left"/>
    </xf>
    <xf numFmtId="2" fontId="20" fillId="0" borderId="10" xfId="0" applyNumberFormat="1" applyFont="1" applyBorder="1" applyAlignment="1">
      <alignment/>
    </xf>
    <xf numFmtId="2" fontId="20" fillId="0" borderId="11" xfId="0" applyNumberFormat="1" applyFont="1" applyBorder="1" applyAlignment="1">
      <alignment/>
    </xf>
    <xf numFmtId="2" fontId="20" fillId="0" borderId="12" xfId="0" applyNumberFormat="1" applyFont="1" applyBorder="1" applyAlignment="1">
      <alignment/>
    </xf>
    <xf numFmtId="2" fontId="20" fillId="0" borderId="13" xfId="0" applyNumberFormat="1" applyFont="1" applyBorder="1" applyAlignment="1">
      <alignment/>
    </xf>
    <xf numFmtId="0" fontId="20" fillId="0" borderId="3" xfId="0" applyNumberFormat="1" applyFont="1" applyBorder="1" applyAlignment="1">
      <alignment horizontal="left"/>
    </xf>
    <xf numFmtId="0" fontId="16" fillId="0" borderId="14" xfId="0" applyFont="1" applyBorder="1"/>
    <xf numFmtId="0" fontId="17" fillId="0" borderId="14" xfId="0" applyFont="1" applyBorder="1"/>
    <xf numFmtId="0" fontId="4" fillId="0" borderId="14" xfId="0" applyFont="1" applyBorder="1"/>
    <xf numFmtId="0" fontId="4" fillId="10" borderId="0" xfId="0" applyFont="1" applyFill="1"/>
    <xf numFmtId="2" fontId="16" fillId="10" borderId="0" xfId="0" applyNumberFormat="1" applyFont="1" applyFill="1"/>
    <xf numFmtId="0" fontId="15" fillId="0" borderId="0" xfId="0" applyFont="1"/>
    <xf numFmtId="0" fontId="22" fillId="0" borderId="0" xfId="0" applyFont="1"/>
    <xf numFmtId="0" fontId="12" fillId="10" borderId="0" xfId="0" applyFont="1" applyFill="1"/>
    <xf numFmtId="0" fontId="4" fillId="0" borderId="0" xfId="0" applyFont="1" applyFill="1"/>
    <xf numFmtId="0" fontId="17" fillId="0" borderId="0" xfId="0" applyFont="1" applyAlignment="1">
      <alignment vertical="center"/>
    </xf>
    <xf numFmtId="0" fontId="17" fillId="0" borderId="4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11" borderId="4" xfId="0" applyFont="1" applyFill="1" applyBorder="1" applyAlignment="1">
      <alignment vertical="center" wrapText="1"/>
    </xf>
    <xf numFmtId="0" fontId="17" fillId="11" borderId="6" xfId="0" applyFont="1" applyFill="1" applyBorder="1" applyAlignment="1">
      <alignment vertical="center" wrapText="1"/>
    </xf>
    <xf numFmtId="0" fontId="17" fillId="3" borderId="4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0" fillId="0" borderId="0" xfId="0" applyNumberFormat="1" applyFont="1" applyBorder="1" applyAlignment="1">
      <alignment horizontal="left"/>
    </xf>
    <xf numFmtId="0" fontId="0" fillId="0" borderId="0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0" fontId="0" fillId="0" borderId="10" xfId="0" applyFont="1" applyBorder="1"/>
    <xf numFmtId="165" fontId="0" fillId="3" borderId="10" xfId="0" applyNumberFormat="1" applyFont="1" applyFill="1" applyBorder="1" applyAlignment="1">
      <alignment/>
    </xf>
    <xf numFmtId="165" fontId="0" fillId="3" borderId="11" xfId="0" applyNumberFormat="1" applyFont="1" applyFill="1" applyBorder="1" applyAlignment="1">
      <alignment/>
    </xf>
    <xf numFmtId="2" fontId="16" fillId="7" borderId="0" xfId="0" applyNumberFormat="1" applyFont="1" applyFill="1"/>
    <xf numFmtId="165" fontId="0" fillId="0" borderId="4" xfId="0" applyNumberFormat="1" applyFont="1" applyBorder="1" applyAlignment="1">
      <alignment/>
    </xf>
    <xf numFmtId="165" fontId="0" fillId="0" borderId="6" xfId="0" applyNumberFormat="1" applyFont="1" applyBorder="1" applyAlignment="1">
      <alignment/>
    </xf>
    <xf numFmtId="0" fontId="16" fillId="12" borderId="0" xfId="0" applyFont="1" applyFill="1"/>
    <xf numFmtId="0" fontId="0" fillId="0" borderId="15" xfId="0" applyNumberFormat="1" applyFont="1" applyBorder="1" applyAlignment="1">
      <alignment vertical="center"/>
    </xf>
    <xf numFmtId="0" fontId="17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24" fillId="0" borderId="0" xfId="0" applyFont="1"/>
    <xf numFmtId="0" fontId="4" fillId="12" borderId="0" xfId="0" applyFont="1" applyFill="1"/>
    <xf numFmtId="0" fontId="0" fillId="0" borderId="16" xfId="0" applyNumberFormat="1" applyFont="1" applyBorder="1" applyAlignment="1">
      <alignment horizontal="left"/>
    </xf>
    <xf numFmtId="0" fontId="12" fillId="0" borderId="0" xfId="0" applyFont="1" applyFill="1"/>
    <xf numFmtId="0" fontId="4" fillId="13" borderId="0" xfId="0" applyFont="1" applyFill="1"/>
    <xf numFmtId="0" fontId="16" fillId="13" borderId="0" xfId="0" applyFont="1" applyFill="1"/>
    <xf numFmtId="0" fontId="0" fillId="0" borderId="4" xfId="0" applyNumberFormat="1" applyFont="1" applyBorder="1" applyAlignment="1">
      <alignment/>
    </xf>
    <xf numFmtId="0" fontId="0" fillId="0" borderId="6" xfId="0" applyNumberFormat="1" applyFont="1" applyBorder="1" applyAlignment="1">
      <alignment/>
    </xf>
    <xf numFmtId="0" fontId="16" fillId="14" borderId="0" xfId="0" applyFont="1" applyFill="1"/>
    <xf numFmtId="0" fontId="25" fillId="0" borderId="3" xfId="0" applyNumberFormat="1" applyFont="1" applyBorder="1" applyAlignment="1">
      <alignment horizontal="left"/>
    </xf>
    <xf numFmtId="0" fontId="21" fillId="0" borderId="7" xfId="20" applyFont="1" applyBorder="1">
      <alignment/>
      <protection/>
    </xf>
    <xf numFmtId="0" fontId="4" fillId="14" borderId="0" xfId="0" applyFont="1" applyFill="1"/>
    <xf numFmtId="0" fontId="6" fillId="0" borderId="0" xfId="0" applyFont="1"/>
    <xf numFmtId="0" fontId="26" fillId="0" borderId="0" xfId="0" applyFont="1"/>
    <xf numFmtId="0" fontId="0" fillId="0" borderId="10" xfId="0" applyBorder="1" applyAlignment="1">
      <alignment/>
    </xf>
    <xf numFmtId="0" fontId="0" fillId="0" borderId="11" xfId="0" applyBorder="1" applyAlignment="1">
      <alignment/>
    </xf>
    <xf numFmtId="0" fontId="17" fillId="12" borderId="0" xfId="0" applyFont="1" applyFill="1"/>
    <xf numFmtId="2" fontId="16" fillId="12" borderId="0" xfId="0" applyNumberFormat="1" applyFont="1" applyFill="1"/>
    <xf numFmtId="0" fontId="0" fillId="12" borderId="7" xfId="0" applyFont="1" applyFill="1" applyBorder="1"/>
    <xf numFmtId="0" fontId="0" fillId="12" borderId="10" xfId="0" applyFont="1" applyFill="1" applyBorder="1" applyAlignment="1">
      <alignment horizontal="left"/>
    </xf>
    <xf numFmtId="0" fontId="0" fillId="12" borderId="3" xfId="0" applyNumberFormat="1" applyFont="1" applyFill="1" applyBorder="1" applyAlignment="1">
      <alignment horizontal="left"/>
    </xf>
    <xf numFmtId="0" fontId="16" fillId="8" borderId="0" xfId="0" applyFont="1" applyFill="1"/>
    <xf numFmtId="165" fontId="0" fillId="0" borderId="17" xfId="0" applyNumberFormat="1" applyFont="1" applyBorder="1" applyAlignment="1">
      <alignment/>
    </xf>
    <xf numFmtId="165" fontId="0" fillId="0" borderId="18" xfId="0" applyNumberFormat="1" applyFont="1" applyBorder="1" applyAlignment="1">
      <alignment/>
    </xf>
    <xf numFmtId="0" fontId="4" fillId="8" borderId="0" xfId="0" applyFont="1" applyFill="1"/>
    <xf numFmtId="0" fontId="0" fillId="0" borderId="4" xfId="0" applyNumberFormat="1" applyFont="1" applyBorder="1" applyAlignment="1">
      <alignment vertical="center"/>
    </xf>
    <xf numFmtId="0" fontId="0" fillId="0" borderId="6" xfId="0" applyNumberFormat="1" applyFont="1" applyBorder="1" applyAlignment="1">
      <alignment vertical="center"/>
    </xf>
    <xf numFmtId="2" fontId="16" fillId="15" borderId="0" xfId="0" applyNumberFormat="1" applyFont="1" applyFill="1"/>
    <xf numFmtId="0" fontId="4" fillId="15" borderId="0" xfId="0" applyFont="1" applyFill="1"/>
    <xf numFmtId="0" fontId="17" fillId="0" borderId="19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165" fontId="0" fillId="0" borderId="0" xfId="0" applyNumberFormat="1" applyFont="1" applyBorder="1" applyAlignment="1">
      <alignment/>
    </xf>
    <xf numFmtId="165" fontId="0" fillId="0" borderId="23" xfId="0" applyNumberFormat="1" applyFont="1" applyBorder="1" applyAlignment="1">
      <alignment/>
    </xf>
    <xf numFmtId="165" fontId="0" fillId="0" borderId="24" xfId="0" applyNumberFormat="1" applyFont="1" applyBorder="1" applyAlignment="1">
      <alignment/>
    </xf>
    <xf numFmtId="2" fontId="16" fillId="13" borderId="0" xfId="0" applyNumberFormat="1" applyFont="1" applyFill="1"/>
    <xf numFmtId="0" fontId="21" fillId="0" borderId="4" xfId="20" applyNumberFormat="1" applyFont="1" applyBorder="1" applyAlignment="1">
      <alignment horizontal="center" vertical="center"/>
      <protection/>
    </xf>
    <xf numFmtId="0" fontId="21" fillId="0" borderId="8" xfId="20" applyFont="1" applyBorder="1" applyAlignment="1">
      <alignment horizontal="left"/>
      <protection/>
    </xf>
    <xf numFmtId="165" fontId="21" fillId="0" borderId="8" xfId="20" applyNumberFormat="1" applyFont="1" applyBorder="1" applyAlignment="1">
      <alignment horizontal="center"/>
      <protection/>
    </xf>
    <xf numFmtId="0" fontId="21" fillId="0" borderId="4" xfId="20" applyNumberFormat="1" applyFont="1" applyBorder="1" applyAlignment="1">
      <alignment horizontal="left"/>
      <protection/>
    </xf>
    <xf numFmtId="0" fontId="21" fillId="0" borderId="4" xfId="20" applyNumberFormat="1" applyFont="1" applyBorder="1" applyAlignment="1">
      <alignment horizontal="center"/>
      <protection/>
    </xf>
    <xf numFmtId="1" fontId="21" fillId="0" borderId="4" xfId="20" applyNumberFormat="1" applyFont="1" applyBorder="1" applyAlignment="1">
      <alignment horizontal="center"/>
      <protection/>
    </xf>
    <xf numFmtId="2" fontId="0" fillId="0" borderId="8" xfId="0" applyNumberFormat="1" applyFont="1" applyBorder="1" applyAlignment="1">
      <alignment/>
    </xf>
    <xf numFmtId="2" fontId="0" fillId="0" borderId="9" xfId="0" applyNumberFormat="1" applyFont="1" applyBorder="1" applyAlignment="1">
      <alignment/>
    </xf>
    <xf numFmtId="2" fontId="0" fillId="0" borderId="10" xfId="0" applyNumberFormat="1" applyFont="1" applyBorder="1" applyAlignment="1">
      <alignment/>
    </xf>
    <xf numFmtId="2" fontId="0" fillId="0" borderId="11" xfId="0" applyNumberFormat="1" applyFont="1" applyBorder="1" applyAlignment="1">
      <alignment/>
    </xf>
    <xf numFmtId="2" fontId="0" fillId="0" borderId="12" xfId="0" applyNumberFormat="1" applyFont="1" applyBorder="1" applyAlignment="1">
      <alignment/>
    </xf>
    <xf numFmtId="2" fontId="0" fillId="0" borderId="13" xfId="0" applyNumberFormat="1" applyFont="1" applyBorder="1" applyAlignment="1">
      <alignment/>
    </xf>
    <xf numFmtId="2" fontId="16" fillId="16" borderId="0" xfId="0" applyNumberFormat="1" applyFont="1" applyFill="1"/>
    <xf numFmtId="2" fontId="16" fillId="0" borderId="0" xfId="0" applyNumberFormat="1" applyFont="1"/>
    <xf numFmtId="0" fontId="4" fillId="16" borderId="0" xfId="0" applyFont="1" applyFill="1"/>
    <xf numFmtId="2" fontId="4" fillId="16" borderId="0" xfId="0" applyNumberFormat="1" applyFont="1" applyFill="1"/>
    <xf numFmtId="0" fontId="16" fillId="11" borderId="0" xfId="0" applyFont="1" applyFill="1"/>
    <xf numFmtId="0" fontId="16" fillId="0" borderId="0" xfId="0" applyFont="1" applyFill="1"/>
    <xf numFmtId="0" fontId="17" fillId="0" borderId="0" xfId="0" applyFont="1" applyFill="1"/>
    <xf numFmtId="0" fontId="21" fillId="0" borderId="10" xfId="20" applyFont="1" applyFill="1" applyBorder="1" applyAlignment="1">
      <alignment horizontal="left"/>
      <protection/>
    </xf>
    <xf numFmtId="0" fontId="21" fillId="0" borderId="0" xfId="20" applyNumberFormat="1" applyFont="1" applyFill="1" applyBorder="1" applyAlignment="1">
      <alignment horizontal="center" vertical="center"/>
      <protection/>
    </xf>
    <xf numFmtId="0" fontId="4" fillId="14" borderId="14" xfId="0" applyFont="1" applyFill="1" applyBorder="1"/>
    <xf numFmtId="0" fontId="28" fillId="0" borderId="3" xfId="0" applyFont="1" applyFill="1" applyBorder="1" applyAlignment="1">
      <alignment horizontal="justify" vertical="center"/>
    </xf>
    <xf numFmtId="0" fontId="17" fillId="0" borderId="3" xfId="0" applyFont="1" applyFill="1" applyBorder="1" applyAlignment="1">
      <alignment horizontal="justify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7" fillId="0" borderId="3" xfId="0" applyFont="1" applyFill="1" applyBorder="1" applyAlignment="1">
      <alignment horizontal="justify" vertical="top"/>
    </xf>
    <xf numFmtId="0" fontId="23" fillId="0" borderId="3" xfId="0" applyFont="1" applyFill="1" applyBorder="1" applyAlignment="1">
      <alignment horizontal="justify" vertical="top"/>
    </xf>
    <xf numFmtId="10" fontId="23" fillId="0" borderId="3" xfId="0" applyNumberFormat="1" applyFont="1" applyFill="1" applyBorder="1" applyAlignment="1">
      <alignment horizontal="justify" vertical="top"/>
    </xf>
    <xf numFmtId="168" fontId="23" fillId="0" borderId="3" xfId="0" applyNumberFormat="1" applyFont="1" applyFill="1" applyBorder="1" applyAlignment="1">
      <alignment horizontal="justify"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center" vertical="center"/>
    </xf>
    <xf numFmtId="0" fontId="17" fillId="0" borderId="3" xfId="0" applyFont="1" applyFill="1" applyBorder="1" applyAlignment="1">
      <alignment horizontal="center" vertical="top"/>
    </xf>
    <xf numFmtId="0" fontId="17" fillId="0" borderId="3" xfId="0" applyFont="1" applyFill="1" applyBorder="1" applyAlignment="1">
      <alignment horizontal="justify" vertical="top" wrapText="1"/>
    </xf>
    <xf numFmtId="0" fontId="29" fillId="0" borderId="0" xfId="0" applyFont="1" applyAlignment="1">
      <alignment vertical="top"/>
    </xf>
    <xf numFmtId="0" fontId="23" fillId="0" borderId="4" xfId="0" applyFont="1" applyFill="1" applyBorder="1" applyAlignment="1">
      <alignment vertical="top"/>
    </xf>
    <xf numFmtId="0" fontId="23" fillId="0" borderId="6" xfId="0" applyFont="1" applyFill="1" applyBorder="1" applyAlignment="1">
      <alignment vertical="top"/>
    </xf>
    <xf numFmtId="49" fontId="17" fillId="0" borderId="3" xfId="0" applyNumberFormat="1" applyFont="1" applyFill="1" applyBorder="1" applyAlignment="1">
      <alignment horizontal="justify" vertical="top"/>
    </xf>
    <xf numFmtId="0" fontId="26" fillId="0" borderId="3" xfId="0" applyFont="1" applyFill="1" applyBorder="1" applyAlignment="1">
      <alignment horizontal="justify" vertical="center"/>
    </xf>
    <xf numFmtId="0" fontId="23" fillId="0" borderId="3" xfId="0" applyFont="1" applyFill="1" applyBorder="1" applyAlignment="1">
      <alignment horizontal="justify" vertical="center"/>
    </xf>
    <xf numFmtId="10" fontId="23" fillId="0" borderId="3" xfId="0" applyNumberFormat="1" applyFont="1" applyFill="1" applyBorder="1" applyAlignment="1">
      <alignment horizontal="justify" vertical="center"/>
    </xf>
    <xf numFmtId="168" fontId="23" fillId="0" borderId="3" xfId="0" applyNumberFormat="1" applyFont="1" applyFill="1" applyBorder="1" applyAlignment="1">
      <alignment horizontal="justify" vertical="center"/>
    </xf>
    <xf numFmtId="0" fontId="23" fillId="0" borderId="5" xfId="0" applyFont="1" applyFill="1" applyBorder="1" applyAlignment="1">
      <alignment vertical="top"/>
    </xf>
    <xf numFmtId="0" fontId="23" fillId="0" borderId="4" xfId="0" applyFont="1" applyFill="1" applyBorder="1" applyAlignment="1">
      <alignment horizontal="left" vertical="top"/>
    </xf>
    <xf numFmtId="0" fontId="23" fillId="0" borderId="6" xfId="0" applyFont="1" applyFill="1" applyBorder="1" applyAlignment="1">
      <alignment horizontal="left" vertical="top"/>
    </xf>
    <xf numFmtId="0" fontId="23" fillId="0" borderId="3" xfId="0" applyFont="1" applyFill="1" applyBorder="1" applyAlignment="1">
      <alignment horizontal="left" vertical="top"/>
    </xf>
    <xf numFmtId="0" fontId="0" fillId="0" borderId="0" xfId="0" applyFont="1"/>
    <xf numFmtId="0" fontId="17" fillId="3" borderId="3" xfId="0" applyFont="1" applyFill="1" applyBorder="1" applyAlignment="1">
      <alignment horizontal="justify" vertical="center"/>
    </xf>
    <xf numFmtId="0" fontId="23" fillId="0" borderId="3" xfId="0" applyNumberFormat="1" applyFont="1" applyFill="1" applyBorder="1" applyAlignment="1">
      <alignment horizontal="justify" vertical="center"/>
    </xf>
    <xf numFmtId="0" fontId="0" fillId="0" borderId="0" xfId="0" applyFill="1"/>
    <xf numFmtId="0" fontId="17" fillId="0" borderId="3" xfId="0" applyFont="1" applyBorder="1" applyAlignment="1">
      <alignment horizontal="justify" vertical="top" wrapText="1"/>
    </xf>
    <xf numFmtId="2" fontId="23" fillId="0" borderId="3" xfId="0" applyNumberFormat="1" applyFont="1" applyFill="1" applyBorder="1" applyAlignment="1">
      <alignment horizontal="justify" vertical="top"/>
    </xf>
    <xf numFmtId="0" fontId="0" fillId="0" borderId="0" xfId="0" applyFont="1" applyFill="1"/>
    <xf numFmtId="0" fontId="0" fillId="0" borderId="3" xfId="0" applyNumberFormat="1" applyFont="1" applyBorder="1" applyAlignment="1">
      <alignment horizontal="center" vertical="center"/>
    </xf>
    <xf numFmtId="165" fontId="0" fillId="0" borderId="7" xfId="0" applyNumberFormat="1" applyFont="1" applyBorder="1" applyAlignment="1">
      <alignment horizontal="center"/>
    </xf>
    <xf numFmtId="165" fontId="0" fillId="0" borderId="10" xfId="0" applyNumberFormat="1" applyFont="1" applyBorder="1" applyAlignment="1">
      <alignment horizontal="center"/>
    </xf>
    <xf numFmtId="165" fontId="0" fillId="0" borderId="11" xfId="0" applyNumberFormat="1" applyFont="1" applyBorder="1" applyAlignment="1">
      <alignment horizontal="center"/>
    </xf>
    <xf numFmtId="0" fontId="4" fillId="9" borderId="0" xfId="0" applyFont="1" applyFill="1"/>
    <xf numFmtId="165" fontId="0" fillId="0" borderId="19" xfId="0" applyNumberFormat="1" applyFont="1" applyBorder="1" applyAlignment="1">
      <alignment/>
    </xf>
    <xf numFmtId="165" fontId="0" fillId="0" borderId="20" xfId="0" applyNumberFormat="1" applyFont="1" applyBorder="1" applyAlignment="1">
      <alignment/>
    </xf>
    <xf numFmtId="0" fontId="30" fillId="0" borderId="21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22" fillId="0" borderId="3" xfId="0" applyFont="1" applyFill="1" applyBorder="1" applyAlignment="1">
      <alignment horizontal="justify" vertical="top"/>
    </xf>
    <xf numFmtId="0" fontId="18" fillId="0" borderId="4" xfId="0" applyNumberFormat="1" applyFont="1" applyBorder="1" applyAlignment="1">
      <alignment vertical="center"/>
    </xf>
    <xf numFmtId="0" fontId="18" fillId="0" borderId="5" xfId="0" applyNumberFormat="1" applyFont="1" applyBorder="1" applyAlignment="1">
      <alignment vertical="center"/>
    </xf>
    <xf numFmtId="167" fontId="0" fillId="0" borderId="4" xfId="0" applyNumberFormat="1" applyFont="1" applyBorder="1" applyAlignment="1">
      <alignment vertical="center"/>
    </xf>
    <xf numFmtId="167" fontId="0" fillId="0" borderId="5" xfId="0" applyNumberFormat="1" applyFont="1" applyBorder="1" applyAlignment="1">
      <alignment vertical="center"/>
    </xf>
    <xf numFmtId="167" fontId="0" fillId="0" borderId="6" xfId="0" applyNumberFormat="1" applyFont="1" applyBorder="1" applyAlignment="1">
      <alignment vertical="center"/>
    </xf>
    <xf numFmtId="1" fontId="0" fillId="0" borderId="4" xfId="0" applyNumberFormat="1" applyFont="1" applyBorder="1" applyAlignment="1">
      <alignment/>
    </xf>
    <xf numFmtId="1" fontId="0" fillId="0" borderId="6" xfId="0" applyNumberFormat="1" applyFont="1" applyBorder="1" applyAlignment="1">
      <alignment/>
    </xf>
    <xf numFmtId="0" fontId="19" fillId="0" borderId="4" xfId="0" applyNumberFormat="1" applyFont="1" applyBorder="1" applyAlignment="1">
      <alignment vertical="center"/>
    </xf>
    <xf numFmtId="0" fontId="19" fillId="0" borderId="5" xfId="0" applyNumberFormat="1" applyFont="1" applyBorder="1" applyAlignment="1">
      <alignment vertical="center"/>
    </xf>
    <xf numFmtId="167" fontId="20" fillId="0" borderId="3" xfId="0" applyNumberFormat="1" applyFont="1" applyBorder="1" applyAlignment="1">
      <alignment horizontal="center" vertical="center"/>
    </xf>
    <xf numFmtId="0" fontId="20" fillId="0" borderId="3" xfId="0" applyNumberFormat="1" applyFont="1" applyBorder="1" applyAlignment="1">
      <alignment horizontal="center" vertical="center"/>
    </xf>
    <xf numFmtId="0" fontId="21" fillId="0" borderId="0" xfId="20" applyFont="1" applyFill="1" applyBorder="1" applyAlignment="1">
      <alignment horizontal="left"/>
      <protection/>
    </xf>
    <xf numFmtId="0" fontId="16" fillId="0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vertical="center" wrapText="1"/>
    </xf>
    <xf numFmtId="165" fontId="31" fillId="0" borderId="0" xfId="20" applyNumberFormat="1" applyFont="1" applyFill="1" applyBorder="1" applyAlignment="1">
      <alignment/>
      <protection/>
    </xf>
    <xf numFmtId="0" fontId="4" fillId="0" borderId="0" xfId="0" applyFont="1" applyFill="1" applyBorder="1"/>
    <xf numFmtId="0" fontId="17" fillId="0" borderId="0" xfId="0" applyFont="1" applyBorder="1"/>
    <xf numFmtId="0" fontId="4" fillId="0" borderId="0" xfId="0" applyFont="1" applyBorder="1"/>
    <xf numFmtId="0" fontId="20" fillId="0" borderId="15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24" fillId="10" borderId="0" xfId="0" applyFont="1" applyFill="1"/>
    <xf numFmtId="0" fontId="17" fillId="3" borderId="3" xfId="0" applyFont="1" applyFill="1" applyBorder="1" applyAlignment="1">
      <alignment horizontal="justify" vertical="top" wrapText="1"/>
    </xf>
    <xf numFmtId="0" fontId="17" fillId="3" borderId="3" xfId="0" applyFont="1" applyFill="1" applyBorder="1" applyAlignment="1">
      <alignment horizontal="justify" vertical="top"/>
    </xf>
    <xf numFmtId="0" fontId="0" fillId="0" borderId="0" xfId="0" applyFont="1" applyBorder="1" applyAlignment="1">
      <alignment/>
    </xf>
    <xf numFmtId="165" fontId="21" fillId="0" borderId="10" xfId="20" applyNumberFormat="1" applyFont="1" applyFill="1" applyBorder="1" applyAlignment="1">
      <alignment/>
      <protection/>
    </xf>
    <xf numFmtId="165" fontId="21" fillId="0" borderId="11" xfId="20" applyNumberFormat="1" applyFont="1" applyFill="1" applyBorder="1" applyAlignment="1">
      <alignment/>
      <protection/>
    </xf>
    <xf numFmtId="0" fontId="32" fillId="0" borderId="7" xfId="20" applyFont="1" applyBorder="1">
      <alignment/>
      <protection/>
    </xf>
    <xf numFmtId="0" fontId="22" fillId="0" borderId="0" xfId="0" applyFont="1" applyBorder="1"/>
    <xf numFmtId="0" fontId="12" fillId="0" borderId="0" xfId="0" applyFont="1" applyBorder="1"/>
    <xf numFmtId="0" fontId="25" fillId="0" borderId="0" xfId="0" applyFont="1" applyBorder="1" applyAlignment="1">
      <alignment horizontal="left"/>
    </xf>
    <xf numFmtId="165" fontId="25" fillId="0" borderId="0" xfId="0" applyNumberFormat="1" applyFont="1" applyBorder="1" applyAlignment="1">
      <alignment/>
    </xf>
    <xf numFmtId="0" fontId="27" fillId="0" borderId="0" xfId="20" applyFont="1" applyBorder="1">
      <alignment/>
      <protection/>
    </xf>
    <xf numFmtId="0" fontId="12" fillId="0" borderId="0" xfId="0" applyFont="1" applyFill="1" applyBorder="1"/>
    <xf numFmtId="0" fontId="22" fillId="0" borderId="3" xfId="0" applyFont="1" applyFill="1" applyBorder="1" applyAlignment="1">
      <alignment horizontal="justify" vertical="center"/>
    </xf>
    <xf numFmtId="10" fontId="23" fillId="0" borderId="15" xfId="0" applyNumberFormat="1" applyFont="1" applyFill="1" applyBorder="1" applyAlignment="1">
      <alignment horizontal="justify" vertical="top"/>
    </xf>
    <xf numFmtId="2" fontId="23" fillId="0" borderId="25" xfId="0" applyNumberFormat="1" applyFont="1" applyFill="1" applyBorder="1" applyAlignment="1">
      <alignment horizontal="justify" vertical="top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65" fontId="0" fillId="0" borderId="10" xfId="0" applyNumberFormat="1" applyFont="1" applyBorder="1" applyAlignment="1">
      <alignment horizontal="center"/>
    </xf>
    <xf numFmtId="165" fontId="0" fillId="0" borderId="29" xfId="0" applyNumberFormat="1" applyFont="1" applyBorder="1" applyAlignment="1">
      <alignment horizontal="center"/>
    </xf>
    <xf numFmtId="165" fontId="0" fillId="0" borderId="11" xfId="0" applyNumberFormat="1" applyFont="1" applyBorder="1" applyAlignment="1">
      <alignment horizontal="center"/>
    </xf>
    <xf numFmtId="165" fontId="0" fillId="0" borderId="7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/>
    </xf>
    <xf numFmtId="165" fontId="21" fillId="0" borderId="10" xfId="20" applyNumberFormat="1" applyFont="1" applyFill="1" applyBorder="1" applyAlignment="1">
      <alignment horizontal="center"/>
      <protection/>
    </xf>
    <xf numFmtId="165" fontId="21" fillId="0" borderId="11" xfId="20" applyNumberFormat="1" applyFont="1" applyFill="1" applyBorder="1" applyAlignment="1">
      <alignment horizontal="center"/>
      <protection/>
    </xf>
    <xf numFmtId="0" fontId="21" fillId="0" borderId="10" xfId="20" applyFill="1" applyBorder="1" applyAlignment="1">
      <alignment horizontal="center"/>
      <protection/>
    </xf>
    <xf numFmtId="0" fontId="21" fillId="0" borderId="11" xfId="20" applyFill="1" applyBorder="1" applyAlignment="1">
      <alignment horizontal="center"/>
      <protection/>
    </xf>
    <xf numFmtId="0" fontId="17" fillId="0" borderId="3" xfId="0" applyFont="1" applyBorder="1" applyAlignment="1">
      <alignment horizontal="center" vertical="center" wrapText="1"/>
    </xf>
    <xf numFmtId="0" fontId="0" fillId="0" borderId="19" xfId="0" applyNumberFormat="1" applyFont="1" applyBorder="1" applyAlignment="1">
      <alignment horizontal="center"/>
    </xf>
    <xf numFmtId="0" fontId="0" fillId="0" borderId="32" xfId="0" applyNumberFormat="1" applyFont="1" applyBorder="1" applyAlignment="1">
      <alignment horizontal="center"/>
    </xf>
    <xf numFmtId="0" fontId="0" fillId="0" borderId="15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65" fontId="0" fillId="0" borderId="3" xfId="0" applyNumberFormat="1" applyFont="1" applyBorder="1" applyAlignment="1">
      <alignment horizontal="center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165" fontId="27" fillId="0" borderId="0" xfId="20" applyNumberFormat="1" applyFont="1" applyBorder="1" applyAlignment="1">
      <alignment horizontal="center"/>
      <protection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0" fillId="12" borderId="3" xfId="0" applyNumberFormat="1" applyFont="1" applyFill="1" applyBorder="1" applyAlignment="1">
      <alignment horizontal="center"/>
    </xf>
    <xf numFmtId="1" fontId="0" fillId="12" borderId="3" xfId="0" applyNumberFormat="1" applyFont="1" applyFill="1" applyBorder="1" applyAlignment="1">
      <alignment horizontal="center"/>
    </xf>
    <xf numFmtId="1" fontId="0" fillId="12" borderId="7" xfId="0" applyNumberFormat="1" applyFont="1" applyFill="1" applyBorder="1" applyAlignment="1">
      <alignment horizontal="center"/>
    </xf>
    <xf numFmtId="165" fontId="0" fillId="12" borderId="10" xfId="0" applyNumberFormat="1" applyFont="1" applyFill="1" applyBorder="1" applyAlignment="1">
      <alignment horizontal="center"/>
    </xf>
    <xf numFmtId="165" fontId="0" fillId="12" borderId="11" xfId="0" applyNumberFormat="1" applyFont="1" applyFill="1" applyBorder="1" applyAlignment="1">
      <alignment horizontal="center"/>
    </xf>
    <xf numFmtId="165" fontId="0" fillId="12" borderId="7" xfId="0" applyNumberFormat="1" applyFont="1" applyFill="1" applyBorder="1" applyAlignment="1">
      <alignment horizontal="center"/>
    </xf>
    <xf numFmtId="0" fontId="0" fillId="12" borderId="3" xfId="0" applyNumberFormat="1" applyFont="1" applyFill="1" applyBorder="1" applyAlignment="1">
      <alignment horizontal="center" vertical="center"/>
    </xf>
    <xf numFmtId="165" fontId="21" fillId="0" borderId="7" xfId="20" applyNumberFormat="1" applyFont="1" applyBorder="1" applyAlignment="1">
      <alignment horizontal="center"/>
      <protection/>
    </xf>
    <xf numFmtId="0" fontId="25" fillId="0" borderId="3" xfId="0" applyNumberFormat="1" applyFont="1" applyBorder="1" applyAlignment="1">
      <alignment horizontal="center"/>
    </xf>
    <xf numFmtId="1" fontId="25" fillId="0" borderId="3" xfId="0" applyNumberFormat="1" applyFont="1" applyBorder="1" applyAlignment="1">
      <alignment horizontal="center"/>
    </xf>
    <xf numFmtId="0" fontId="21" fillId="0" borderId="3" xfId="20" applyNumberFormat="1" applyFont="1" applyBorder="1" applyAlignment="1">
      <alignment horizontal="center" vertical="center"/>
      <protection/>
    </xf>
    <xf numFmtId="0" fontId="25" fillId="0" borderId="16" xfId="0" applyNumberFormat="1" applyFont="1" applyBorder="1" applyAlignment="1">
      <alignment horizontal="center" vertical="center"/>
    </xf>
    <xf numFmtId="0" fontId="0" fillId="0" borderId="16" xfId="0" applyNumberFormat="1" applyFont="1" applyBorder="1" applyAlignment="1">
      <alignment horizontal="center"/>
    </xf>
    <xf numFmtId="165" fontId="0" fillId="0" borderId="18" xfId="0" applyNumberFormat="1" applyFont="1" applyBorder="1" applyAlignment="1">
      <alignment horizontal="center"/>
    </xf>
    <xf numFmtId="165" fontId="25" fillId="0" borderId="18" xfId="0" applyNumberFormat="1" applyFont="1" applyBorder="1" applyAlignment="1">
      <alignment horizontal="center"/>
    </xf>
    <xf numFmtId="165" fontId="25" fillId="0" borderId="7" xfId="0" applyNumberFormat="1" applyFont="1" applyBorder="1" applyAlignment="1">
      <alignment horizontal="center"/>
    </xf>
    <xf numFmtId="0" fontId="20" fillId="0" borderId="3" xfId="0" applyNumberFormat="1" applyFont="1" applyBorder="1" applyAlignment="1">
      <alignment horizontal="center"/>
    </xf>
    <xf numFmtId="1" fontId="20" fillId="0" borderId="3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0" fontId="19" fillId="0" borderId="15" xfId="0" applyNumberFormat="1" applyFont="1" applyBorder="1" applyAlignment="1">
      <alignment horizontal="center" vertical="center"/>
    </xf>
    <xf numFmtId="0" fontId="19" fillId="0" borderId="21" xfId="0" applyNumberFormat="1" applyFont="1" applyBorder="1" applyAlignment="1">
      <alignment horizontal="center" vertical="center"/>
    </xf>
    <xf numFmtId="0" fontId="19" fillId="0" borderId="23" xfId="0" applyNumberFormat="1" applyFont="1" applyBorder="1" applyAlignment="1">
      <alignment horizontal="center" vertical="center"/>
    </xf>
    <xf numFmtId="167" fontId="20" fillId="0" borderId="3" xfId="0" applyNumberFormat="1" applyFont="1" applyBorder="1" applyAlignment="1">
      <alignment horizontal="center" vertical="center"/>
    </xf>
    <xf numFmtId="0" fontId="20" fillId="0" borderId="3" xfId="0" applyNumberFormat="1" applyFont="1" applyBorder="1" applyAlignment="1">
      <alignment horizontal="center" vertical="center"/>
    </xf>
    <xf numFmtId="0" fontId="18" fillId="0" borderId="15" xfId="0" applyNumberFormat="1" applyFont="1" applyBorder="1" applyAlignment="1">
      <alignment horizontal="center" vertical="center"/>
    </xf>
    <xf numFmtId="0" fontId="18" fillId="0" borderId="21" xfId="0" applyNumberFormat="1" applyFont="1" applyBorder="1" applyAlignment="1">
      <alignment horizontal="center" vertical="center"/>
    </xf>
    <xf numFmtId="0" fontId="18" fillId="0" borderId="23" xfId="0" applyNumberFormat="1" applyFont="1" applyBorder="1" applyAlignment="1">
      <alignment horizontal="center" vertical="center"/>
    </xf>
    <xf numFmtId="0" fontId="21" fillId="0" borderId="0" xfId="20" applyFill="1" applyBorder="1" applyAlignment="1">
      <alignment horizontal="center"/>
      <protection/>
    </xf>
    <xf numFmtId="0" fontId="0" fillId="0" borderId="4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165" fontId="0" fillId="0" borderId="8" xfId="0" applyNumberFormat="1" applyFont="1" applyBorder="1" applyAlignment="1">
      <alignment horizontal="center"/>
    </xf>
    <xf numFmtId="165" fontId="0" fillId="0" borderId="9" xfId="0" applyNumberFormat="1" applyFont="1" applyBorder="1" applyAlignment="1">
      <alignment horizontal="center"/>
    </xf>
    <xf numFmtId="165" fontId="0" fillId="0" borderId="12" xfId="0" applyNumberFormat="1" applyFont="1" applyBorder="1" applyAlignment="1">
      <alignment horizontal="center"/>
    </xf>
    <xf numFmtId="165" fontId="0" fillId="0" borderId="13" xfId="0" applyNumberFormat="1" applyFont="1" applyBorder="1" applyAlignment="1">
      <alignment horizontal="center"/>
    </xf>
    <xf numFmtId="1" fontId="0" fillId="0" borderId="4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0" fontId="25" fillId="0" borderId="21" xfId="0" applyNumberFormat="1" applyFont="1" applyBorder="1" applyAlignment="1">
      <alignment horizontal="center" vertical="center"/>
    </xf>
    <xf numFmtId="0" fontId="25" fillId="0" borderId="22" xfId="0" applyNumberFormat="1" applyFont="1" applyBorder="1" applyAlignment="1">
      <alignment horizontal="center" vertical="center"/>
    </xf>
    <xf numFmtId="165" fontId="32" fillId="0" borderId="7" xfId="20" applyNumberFormat="1" applyFont="1" applyBorder="1" applyAlignment="1">
      <alignment horizontal="center"/>
      <protection/>
    </xf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20" fillId="0" borderId="15" xfId="0" applyNumberFormat="1" applyFont="1" applyBorder="1" applyAlignment="1">
      <alignment horizontal="center" vertical="center"/>
    </xf>
    <xf numFmtId="0" fontId="23" fillId="0" borderId="3" xfId="0" applyFont="1" applyFill="1" applyBorder="1" applyAlignment="1">
      <alignment horizontal="justify" vertical="top"/>
    </xf>
    <xf numFmtId="0" fontId="17" fillId="3" borderId="3" xfId="0" applyFont="1" applyFill="1" applyBorder="1" applyAlignment="1">
      <alignment horizontal="justify" vertical="top" wrapText="1"/>
    </xf>
    <xf numFmtId="0" fontId="17" fillId="0" borderId="3" xfId="0" applyFont="1" applyFill="1" applyBorder="1" applyAlignment="1">
      <alignment horizontal="justify" vertical="top" wrapText="1"/>
    </xf>
    <xf numFmtId="0" fontId="23" fillId="0" borderId="15" xfId="0" applyFont="1" applyFill="1" applyBorder="1" applyAlignment="1">
      <alignment horizontal="justify" vertical="top"/>
    </xf>
    <xf numFmtId="0" fontId="23" fillId="0" borderId="25" xfId="0" applyFont="1" applyFill="1" applyBorder="1" applyAlignment="1">
      <alignment horizontal="justify" vertical="top"/>
    </xf>
    <xf numFmtId="0" fontId="23" fillId="0" borderId="3" xfId="0" applyFont="1" applyBorder="1" applyAlignment="1">
      <alignment horizontal="justify" vertical="top"/>
    </xf>
    <xf numFmtId="0" fontId="23" fillId="0" borderId="4" xfId="0" applyFont="1" applyFill="1" applyBorder="1" applyAlignment="1">
      <alignment horizontal="left" vertical="top"/>
    </xf>
    <xf numFmtId="0" fontId="23" fillId="0" borderId="5" xfId="0" applyFont="1" applyFill="1" applyBorder="1" applyAlignment="1">
      <alignment horizontal="left" vertical="top"/>
    </xf>
    <xf numFmtId="0" fontId="23" fillId="0" borderId="6" xfId="0" applyFont="1" applyFill="1" applyBorder="1" applyAlignment="1">
      <alignment horizontal="left" vertical="top"/>
    </xf>
    <xf numFmtId="0" fontId="17" fillId="0" borderId="3" xfId="0" applyFont="1" applyFill="1" applyBorder="1" applyAlignment="1">
      <alignment horizontal="justify" vertical="center" wrapText="1"/>
    </xf>
    <xf numFmtId="0" fontId="23" fillId="0" borderId="3" xfId="0" applyFont="1" applyFill="1" applyBorder="1" applyAlignment="1">
      <alignment horizontal="justify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justify" vertical="center"/>
    </xf>
    <xf numFmtId="0" fontId="17" fillId="0" borderId="4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0" fontId="26" fillId="0" borderId="3" xfId="0" applyFont="1" applyFill="1" applyBorder="1" applyAlignment="1">
      <alignment horizontal="justify" vertical="center" wrapText="1"/>
    </xf>
    <xf numFmtId="0" fontId="22" fillId="3" borderId="3" xfId="0" applyFont="1" applyFill="1" applyBorder="1" applyAlignment="1">
      <alignment horizontal="justify" vertical="top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justify" vertical="center" wrapText="1"/>
    </xf>
    <xf numFmtId="0" fontId="17" fillId="3" borderId="3" xfId="0" applyFont="1" applyFill="1" applyBorder="1" applyAlignment="1">
      <alignment horizontal="justify" vertical="center" wrapText="1"/>
    </xf>
    <xf numFmtId="0" fontId="22" fillId="0" borderId="3" xfId="0" applyFont="1" applyFill="1" applyBorder="1" applyAlignment="1">
      <alignment horizontal="justify" vertical="top" wrapText="1"/>
    </xf>
    <xf numFmtId="0" fontId="17" fillId="0" borderId="3" xfId="0" applyFont="1" applyFill="1" applyBorder="1" applyAlignment="1">
      <alignment horizontal="justify" vertical="top"/>
    </xf>
    <xf numFmtId="0" fontId="17" fillId="0" borderId="3" xfId="0" applyFont="1" applyFill="1" applyBorder="1" applyAlignment="1">
      <alignment horizontal="center" vertical="top"/>
    </xf>
    <xf numFmtId="0" fontId="23" fillId="0" borderId="3" xfId="0" applyFont="1" applyFill="1" applyBorder="1" applyAlignment="1">
      <alignment horizontal="left" vertical="top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Обычный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8" Type="http://schemas.openxmlformats.org/officeDocument/2006/relationships/calcChain" Target="calcChain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X69"/>
  <sheetViews>
    <sheetView zoomScale="70" zoomScaleNormal="70" workbookViewId="0" topLeftCell="B1">
      <pane xSplit="1" ySplit="5" topLeftCell="C6" activePane="bottomRight" state="frozen"/>
      <selection pane="topLeft" activeCell="B1" sqref="B1"/>
      <selection pane="bottomLeft" activeCell="B7" sqref="B7"/>
      <selection pane="topRight" activeCell="C1" sqref="C1"/>
      <selection pane="bottomRight" activeCell="W20" sqref="W20"/>
    </sheetView>
  </sheetViews>
  <sheetFormatPr defaultRowHeight="15"/>
  <cols>
    <col min="1" max="1" width="5.42857142857143" style="3" customWidth="1"/>
    <col min="2" max="2" width="43.8571428571429" style="3" customWidth="1"/>
    <col min="3" max="3" width="12.7142857142857" style="3" customWidth="1"/>
    <col min="4" max="11" width="9.14285714285714" style="3"/>
    <col min="12" max="12" width="11.1428571428571" style="3" customWidth="1"/>
    <col min="13" max="13" width="14.8571428571429" style="3" customWidth="1"/>
    <col min="14" max="14" width="18.2857142857143" style="3" customWidth="1"/>
    <col min="15" max="15" width="9.14285714285714" style="3"/>
    <col min="16" max="16" width="18.2857142857143" style="3" hidden="1" customWidth="1"/>
    <col min="17" max="17" width="0" style="3" hidden="1" customWidth="1"/>
    <col min="18" max="18" width="19.2857142857143" style="3" hidden="1" customWidth="1"/>
    <col min="19" max="19" width="9.14285714285714" style="3"/>
    <col min="20" max="20" width="13.2857142857143" style="3" customWidth="1"/>
    <col min="21" max="16384" width="9.14285714285714" style="3"/>
  </cols>
  <sheetData>
    <row r="1" spans="13:14" ht="14.25" customHeight="1">
      <c r="M1" s="13"/>
      <c s="12" t="s">
        <v>30</v>
      </c>
    </row>
    <row r="2" spans="2:14" ht="18.75">
      <c r="B2" s="260" t="s">
        <v>29</v>
      </c>
      <c s="260"/>
      <c s="260"/>
      <c s="260"/>
      <c s="260"/>
      <c s="260"/>
      <c s="260"/>
      <c s="260"/>
      <c s="260"/>
      <c s="260"/>
      <c s="260"/>
      <c s="260"/>
      <c s="260"/>
    </row>
    <row r="3" spans="1:18" ht="25.5" customHeight="1">
      <c r="A3" s="1" t="s">
        <v>0</v>
      </c>
      <c s="265" t="s">
        <v>2</v>
      </c>
      <c s="267" t="s">
        <v>3</v>
      </c>
      <c s="268"/>
      <c s="268"/>
      <c s="268"/>
      <c s="268"/>
      <c s="268"/>
      <c s="268"/>
      <c s="268"/>
      <c s="268"/>
      <c s="269"/>
      <c s="265" t="s">
        <v>12</v>
      </c>
      <c s="263" t="s">
        <v>11</v>
      </c>
      <c r="P3" s="256" t="s">
        <v>80</v>
      </c>
      <c r="R3" s="258" t="s">
        <v>81</v>
      </c>
    </row>
    <row r="4" spans="1:23" ht="54.75" customHeight="1">
      <c r="A4" s="2" t="s">
        <v>1</v>
      </c>
      <c s="266"/>
      <c s="8" t="s">
        <v>19</v>
      </c>
      <c s="8" t="s">
        <v>20</v>
      </c>
      <c s="8" t="s">
        <v>21</v>
      </c>
      <c s="48" t="s">
        <v>22</v>
      </c>
      <c s="8" t="s">
        <v>23</v>
      </c>
      <c s="8" t="s">
        <v>24</v>
      </c>
      <c s="8" t="s">
        <v>25</v>
      </c>
      <c s="8" t="s">
        <v>26</v>
      </c>
      <c s="8" t="s">
        <v>27</v>
      </c>
      <c s="8" t="s">
        <v>28</v>
      </c>
      <c s="266"/>
      <c s="264"/>
      <c r="P4" s="257"/>
      <c r="R4" s="259"/>
      <c s="28" t="s">
        <v>84</v>
      </c>
      <c s="28" t="s">
        <v>85</v>
      </c>
      <c s="27" t="s">
        <v>86</v>
      </c>
      <c r="W4" s="31" t="s">
        <v>87</v>
      </c>
    </row>
    <row r="5" spans="1:18" ht="21" customHeight="1">
      <c r="A5" s="9"/>
      <c s="261" t="s">
        <v>31</v>
      </c>
      <c s="261"/>
      <c s="261"/>
      <c s="261"/>
      <c s="261"/>
      <c s="261"/>
      <c s="261"/>
      <c s="261"/>
      <c s="261"/>
      <c s="261"/>
      <c s="261"/>
      <c s="262"/>
      <c s="6"/>
      <c r="P5" s="24"/>
      <c r="R5" s="24"/>
    </row>
    <row r="6" spans="1:23" ht="19.5" customHeight="1">
      <c r="A6" s="4">
        <v>1</v>
      </c>
      <c s="7" t="s">
        <v>33</v>
      </c>
      <c s="5"/>
      <c s="5"/>
      <c s="5"/>
      <c s="34"/>
      <c s="5"/>
      <c s="5"/>
      <c s="5"/>
      <c s="5"/>
      <c s="5"/>
      <c s="5"/>
      <c s="5">
        <f>SUM(C6:L6)</f>
        <v>0</v>
      </c>
      <c s="16">
        <f>M6/10</f>
        <v>0</v>
      </c>
      <c r="P6" s="24"/>
      <c r="R6" s="24"/>
      <c s="29">
        <v>80</v>
      </c>
      <c s="29">
        <f>S6*0.25</f>
        <v>20</v>
      </c>
      <c s="30"/>
      <c r="W6" s="32"/>
    </row>
    <row r="7" spans="1:23" ht="19.5" customHeight="1">
      <c r="A7" s="4">
        <v>2</v>
      </c>
      <c s="7" t="s">
        <v>18</v>
      </c>
      <c s="5">
        <v>40</v>
      </c>
      <c s="5">
        <v>51.299999999999997</v>
      </c>
      <c s="5">
        <v>40</v>
      </c>
      <c s="34">
        <v>40</v>
      </c>
      <c s="5">
        <v>40</v>
      </c>
      <c s="5">
        <v>40</v>
      </c>
      <c s="5">
        <v>49.5</v>
      </c>
      <c s="5"/>
      <c s="5">
        <v>51</v>
      </c>
      <c s="5">
        <v>40</v>
      </c>
      <c s="5">
        <f>SUM(C7:L7)</f>
        <v>391.80000000000001</v>
      </c>
      <c s="16">
        <f>M7/10</f>
        <v>39.18</v>
      </c>
      <c r="P7" s="24">
        <v>50.090000000000003</v>
      </c>
      <c r="R7" s="24">
        <v>2.1600000000000001</v>
      </c>
      <c s="29">
        <v>150</v>
      </c>
      <c s="29">
        <f t="shared" si="0" ref="T7:T57">S7*0.25</f>
        <v>37.5</v>
      </c>
      <c s="30"/>
      <c r="W7" s="32"/>
    </row>
    <row r="8" spans="1:23" ht="19.5" customHeight="1">
      <c r="A8" s="4"/>
      <c s="7" t="s">
        <v>83</v>
      </c>
      <c s="5"/>
      <c s="5"/>
      <c s="5">
        <v>5.9000000000000004</v>
      </c>
      <c s="34"/>
      <c s="5"/>
      <c s="5"/>
      <c s="5"/>
      <c s="5"/>
      <c s="5"/>
      <c s="5"/>
      <c s="5">
        <f>SUM(C8:L8)</f>
        <v>5.9000000000000004</v>
      </c>
      <c s="16">
        <f>M8/10</f>
        <v>0.59000000000000008</v>
      </c>
      <c r="P8" s="24">
        <v>130</v>
      </c>
      <c r="R8" s="24">
        <v>0.076999999999999999</v>
      </c>
      <c s="29"/>
      <c s="29"/>
      <c s="30"/>
      <c r="W8" s="32"/>
    </row>
    <row r="9" spans="1:23" ht="19.5" customHeight="1">
      <c r="A9" s="4">
        <v>3</v>
      </c>
      <c s="7" t="s">
        <v>34</v>
      </c>
      <c s="5"/>
      <c s="5">
        <v>1.3</v>
      </c>
      <c s="5"/>
      <c s="34">
        <v>6</v>
      </c>
      <c s="5"/>
      <c s="5"/>
      <c s="5">
        <v>2.2000000000000002</v>
      </c>
      <c s="5"/>
      <c s="5">
        <v>6.2000000000000002</v>
      </c>
      <c s="5"/>
      <c s="5">
        <f t="shared" si="1" ref="M9:M57">SUM(C9:L9)</f>
        <v>15.699999999999999</v>
      </c>
      <c s="16">
        <f t="shared" si="2" ref="N9:N57">M9/10</f>
        <v>1.5699999999999998</v>
      </c>
      <c r="P9" s="24">
        <v>52</v>
      </c>
      <c r="R9" s="24">
        <v>0.050000000000000003</v>
      </c>
      <c s="29">
        <v>15</v>
      </c>
      <c s="29">
        <f t="shared" si="0"/>
        <v>3.75</v>
      </c>
      <c s="30"/>
      <c r="W9" s="32"/>
    </row>
    <row r="10" spans="1:23" ht="19.5" customHeight="1">
      <c r="A10" s="4">
        <v>4</v>
      </c>
      <c s="15" t="s">
        <v>64</v>
      </c>
      <c s="5"/>
      <c s="5"/>
      <c s="5"/>
      <c s="34"/>
      <c s="5"/>
      <c s="5"/>
      <c s="5"/>
      <c s="5"/>
      <c s="5"/>
      <c s="5"/>
      <c s="5">
        <f t="shared" si="1"/>
        <v>0</v>
      </c>
      <c s="16"/>
      <c r="P10" s="24"/>
      <c r="R10" s="24"/>
      <c s="29">
        <v>45</v>
      </c>
      <c s="29">
        <f t="shared" si="0"/>
        <v>11.25</v>
      </c>
      <c s="30"/>
      <c r="W10" s="32"/>
    </row>
    <row r="11" spans="1:23" ht="19.5" customHeight="1">
      <c r="A11" s="4"/>
      <c s="14" t="s">
        <v>35</v>
      </c>
      <c s="5"/>
      <c s="5">
        <v>38</v>
      </c>
      <c s="5"/>
      <c s="34"/>
      <c s="5"/>
      <c s="5"/>
      <c s="5">
        <v>16</v>
      </c>
      <c s="5"/>
      <c s="5"/>
      <c s="5"/>
      <c s="5">
        <f t="shared" si="1"/>
        <v>54</v>
      </c>
      <c s="16">
        <f t="shared" si="3" ref="N11:N17">M11/10</f>
        <v>5.4000000000000004</v>
      </c>
      <c r="P11" s="24">
        <v>80</v>
      </c>
      <c r="R11" s="24">
        <v>0.58999999999999997</v>
      </c>
      <c s="29"/>
      <c s="29"/>
      <c s="30"/>
      <c r="W11" s="32"/>
    </row>
    <row r="12" spans="1:23" ht="19.5" customHeight="1">
      <c r="A12" s="4"/>
      <c s="14" t="s">
        <v>36</v>
      </c>
      <c s="5"/>
      <c s="5"/>
      <c s="5"/>
      <c s="34"/>
      <c s="5"/>
      <c s="5">
        <v>50</v>
      </c>
      <c s="5"/>
      <c s="5"/>
      <c s="5"/>
      <c s="5"/>
      <c s="5">
        <f t="shared" si="1"/>
        <v>50</v>
      </c>
      <c s="16">
        <f t="shared" si="3"/>
        <v>5</v>
      </c>
      <c r="P12" s="24">
        <v>95</v>
      </c>
      <c r="R12" s="24">
        <v>0.47999999999999998</v>
      </c>
      <c s="29"/>
      <c s="29"/>
      <c s="30"/>
      <c r="W12" s="32"/>
    </row>
    <row r="13" spans="1:23" ht="19.5" customHeight="1">
      <c r="A13" s="4"/>
      <c s="14" t="s">
        <v>37</v>
      </c>
      <c s="5"/>
      <c s="5"/>
      <c s="5"/>
      <c s="34"/>
      <c s="5"/>
      <c s="5"/>
      <c s="5"/>
      <c s="5"/>
      <c s="5"/>
      <c s="5"/>
      <c s="5">
        <f t="shared" si="1"/>
        <v>0</v>
      </c>
      <c s="16">
        <f t="shared" si="3"/>
        <v>0</v>
      </c>
      <c r="P13" s="24"/>
      <c r="R13" s="24"/>
      <c s="29"/>
      <c s="29"/>
      <c s="30"/>
      <c r="W13" s="32"/>
    </row>
    <row r="14" spans="1:23" ht="19.5" customHeight="1">
      <c r="A14" s="4"/>
      <c s="14" t="s">
        <v>38</v>
      </c>
      <c s="5"/>
      <c s="5"/>
      <c s="5"/>
      <c s="34"/>
      <c s="5"/>
      <c s="5"/>
      <c s="5"/>
      <c s="5"/>
      <c s="5"/>
      <c s="5"/>
      <c s="5">
        <f t="shared" si="1"/>
        <v>0</v>
      </c>
      <c s="16">
        <f t="shared" si="3"/>
        <v>0</v>
      </c>
      <c r="P14" s="24"/>
      <c r="R14" s="24"/>
      <c s="29"/>
      <c s="29"/>
      <c s="30"/>
      <c r="W14" s="32"/>
    </row>
    <row r="15" spans="1:23" ht="19.5" customHeight="1">
      <c r="A15" s="4"/>
      <c s="14" t="s">
        <v>39</v>
      </c>
      <c s="5"/>
      <c s="5"/>
      <c s="5"/>
      <c s="34"/>
      <c s="5"/>
      <c s="5"/>
      <c s="5">
        <v>18</v>
      </c>
      <c s="5"/>
      <c s="5"/>
      <c s="5"/>
      <c s="5">
        <f t="shared" si="1"/>
        <v>18</v>
      </c>
      <c s="16">
        <f t="shared" si="3"/>
        <v>1.8</v>
      </c>
      <c r="P15" s="24">
        <v>35</v>
      </c>
      <c r="R15" s="24">
        <v>0.063</v>
      </c>
      <c s="29"/>
      <c s="29"/>
      <c s="30"/>
      <c r="W15" s="32"/>
    </row>
    <row r="16" spans="1:23" ht="19.5" customHeight="1">
      <c r="A16" s="4"/>
      <c s="14" t="s">
        <v>40</v>
      </c>
      <c s="5"/>
      <c s="5"/>
      <c s="5"/>
      <c s="5"/>
      <c s="5"/>
      <c s="5"/>
      <c s="5"/>
      <c s="5"/>
      <c s="5"/>
      <c s="5"/>
      <c s="5">
        <f t="shared" si="1"/>
        <v>0</v>
      </c>
      <c s="16">
        <f t="shared" si="3"/>
        <v>0</v>
      </c>
      <c r="P16" s="24"/>
      <c r="R16" s="24"/>
      <c s="29"/>
      <c s="29"/>
      <c s="30"/>
      <c r="W16" s="32"/>
    </row>
    <row r="17" spans="1:23" ht="19.5" customHeight="1">
      <c r="A17" s="4"/>
      <c s="14" t="s">
        <v>41</v>
      </c>
      <c s="5">
        <v>40</v>
      </c>
      <c s="5"/>
      <c s="5"/>
      <c s="34"/>
      <c s="5"/>
      <c s="5"/>
      <c s="5"/>
      <c s="5"/>
      <c s="5"/>
      <c s="5"/>
      <c s="5">
        <f t="shared" si="1"/>
        <v>40</v>
      </c>
      <c s="16">
        <f t="shared" si="3"/>
        <v>4</v>
      </c>
      <c r="P17" s="24">
        <v>40</v>
      </c>
      <c r="R17" s="24">
        <v>0.16</v>
      </c>
      <c s="29"/>
      <c s="29"/>
      <c s="30"/>
      <c r="W17" s="32"/>
    </row>
    <row r="18" spans="1:23" ht="19.5" customHeight="1">
      <c r="A18" s="4">
        <v>5</v>
      </c>
      <c s="7" t="s">
        <v>13</v>
      </c>
      <c s="5"/>
      <c s="5"/>
      <c s="5"/>
      <c s="34">
        <v>52</v>
      </c>
      <c s="5"/>
      <c s="5"/>
      <c s="5"/>
      <c s="5"/>
      <c s="5">
        <v>52</v>
      </c>
      <c s="5"/>
      <c s="5">
        <f t="shared" si="1"/>
        <v>104</v>
      </c>
      <c s="16">
        <f t="shared" si="2"/>
        <v>10.4</v>
      </c>
      <c r="P18" s="24">
        <v>65</v>
      </c>
      <c r="R18" s="24">
        <v>0.68000000000000005</v>
      </c>
      <c s="29">
        <v>15</v>
      </c>
      <c s="29">
        <f t="shared" si="0"/>
        <v>3.75</v>
      </c>
      <c s="30"/>
      <c r="W18" s="32"/>
    </row>
    <row r="19" spans="1:23" ht="19.5" customHeight="1">
      <c r="A19" s="4">
        <v>6</v>
      </c>
      <c s="7" t="s">
        <v>6</v>
      </c>
      <c s="5"/>
      <c s="5"/>
      <c s="5"/>
      <c s="34"/>
      <c s="5"/>
      <c s="5"/>
      <c s="5"/>
      <c s="5"/>
      <c s="5"/>
      <c s="5"/>
      <c s="5">
        <f t="shared" si="1"/>
        <v>0</v>
      </c>
      <c s="16">
        <f t="shared" si="2"/>
        <v>0</v>
      </c>
      <c r="P19" s="24"/>
      <c r="R19" s="24"/>
      <c s="29">
        <v>187</v>
      </c>
      <c s="29">
        <f t="shared" si="0"/>
        <v>46.75</v>
      </c>
      <c s="30"/>
      <c r="W19" s="32"/>
    </row>
    <row r="20" spans="1:24" ht="47.25">
      <c r="A20" s="4">
        <v>7</v>
      </c>
      <c s="47" t="s">
        <v>42</v>
      </c>
      <c s="42">
        <f>C21+C22+C23+C24+C25+C26+C27</f>
        <v>0</v>
      </c>
      <c s="42">
        <v>48.5</v>
      </c>
      <c s="42">
        <f t="shared" si="4" ref="E20:M20">E21+E22+E23+E24+E25+E26+E27</f>
        <v>56.299999999999997</v>
      </c>
      <c s="36">
        <f t="shared" si="4"/>
        <v>18</v>
      </c>
      <c s="42">
        <f t="shared" si="4"/>
        <v>42</v>
      </c>
      <c s="42">
        <f t="shared" si="4"/>
        <v>0</v>
      </c>
      <c s="42">
        <f t="shared" si="4"/>
        <v>43</v>
      </c>
      <c s="42">
        <f t="shared" si="4"/>
        <v>0</v>
      </c>
      <c s="42">
        <f t="shared" si="4"/>
        <v>75</v>
      </c>
      <c s="42">
        <f t="shared" si="4"/>
        <v>42</v>
      </c>
      <c s="42">
        <f t="shared" si="4"/>
        <v>321</v>
      </c>
      <c s="43">
        <f>M20/10</f>
        <v>32.100000000000001</v>
      </c>
      <c r="P20" s="24"/>
      <c r="R20" s="24"/>
      <c s="29">
        <v>280</v>
      </c>
      <c s="29">
        <f>S20*0.2</f>
        <v>56</v>
      </c>
      <c s="30"/>
      <c r="W20" s="33">
        <v>75</v>
      </c>
      <c s="49">
        <f>W20-N20</f>
        <v>42.899999999999999</v>
      </c>
    </row>
    <row r="21" spans="1:23" ht="15.75">
      <c r="A21" s="4"/>
      <c s="14" t="s">
        <v>43</v>
      </c>
      <c s="5"/>
      <c s="5"/>
      <c s="5"/>
      <c s="34"/>
      <c s="5"/>
      <c s="5"/>
      <c s="5"/>
      <c s="5"/>
      <c s="5"/>
      <c s="5"/>
      <c s="5">
        <f t="shared" si="5" ref="M21:M29">SUM(C21:L21)</f>
        <v>0</v>
      </c>
      <c s="16">
        <f t="shared" si="2"/>
        <v>0</v>
      </c>
      <c r="P21" s="24"/>
      <c r="R21" s="24"/>
      <c s="29"/>
      <c s="29"/>
      <c s="30"/>
      <c r="W21" s="32"/>
    </row>
    <row r="22" spans="1:23" ht="15.75">
      <c r="A22" s="4"/>
      <c s="14" t="s">
        <v>44</v>
      </c>
      <c s="5"/>
      <c s="5">
        <v>0.59999999999999998</v>
      </c>
      <c s="5"/>
      <c s="34">
        <v>18</v>
      </c>
      <c s="5"/>
      <c s="5"/>
      <c s="5"/>
      <c s="5"/>
      <c s="5">
        <v>31.5</v>
      </c>
      <c s="5"/>
      <c s="5">
        <f t="shared" si="5"/>
        <v>50.100000000000001</v>
      </c>
      <c s="16">
        <f t="shared" si="2"/>
        <v>5.0099999999999998</v>
      </c>
      <c r="P22" s="24">
        <v>21</v>
      </c>
      <c r="R22" s="24">
        <v>0.076999999999999999</v>
      </c>
      <c s="29"/>
      <c s="29"/>
      <c s="30"/>
      <c r="W22" s="32"/>
    </row>
    <row r="23" spans="1:23" ht="15.75">
      <c r="A23" s="4"/>
      <c s="14" t="s">
        <v>45</v>
      </c>
      <c s="5"/>
      <c s="5">
        <v>2.1000000000000001</v>
      </c>
      <c s="5">
        <v>56.299999999999997</v>
      </c>
      <c s="34"/>
      <c s="5"/>
      <c s="5"/>
      <c s="5">
        <v>43</v>
      </c>
      <c s="5"/>
      <c s="5">
        <v>1.5</v>
      </c>
      <c s="5"/>
      <c s="5">
        <f t="shared" si="5"/>
        <v>102.90000000000001</v>
      </c>
      <c s="16">
        <f t="shared" si="2"/>
        <v>10.290000000000001</v>
      </c>
      <c r="P23" s="24">
        <v>30</v>
      </c>
      <c r="R23" s="24">
        <v>0.34000000000000002</v>
      </c>
      <c s="29"/>
      <c s="29"/>
      <c s="30"/>
      <c r="W23" s="32"/>
    </row>
    <row r="24" spans="1:23" ht="15.75">
      <c r="A24" s="4"/>
      <c s="14" t="s">
        <v>46</v>
      </c>
      <c s="5"/>
      <c s="5"/>
      <c s="5"/>
      <c s="34"/>
      <c s="5"/>
      <c s="5"/>
      <c s="5"/>
      <c s="5"/>
      <c s="5"/>
      <c s="5"/>
      <c s="5">
        <f t="shared" si="5"/>
        <v>0</v>
      </c>
      <c s="16">
        <f t="shared" si="2"/>
        <v>0</v>
      </c>
      <c r="P24" s="24"/>
      <c r="R24" s="24"/>
      <c s="29"/>
      <c s="29"/>
      <c s="30"/>
      <c r="W24" s="32"/>
    </row>
    <row r="25" spans="1:23" ht="15.75">
      <c r="A25" s="4"/>
      <c s="14" t="s">
        <v>47</v>
      </c>
      <c s="5"/>
      <c s="5"/>
      <c s="5"/>
      <c s="34"/>
      <c s="5"/>
      <c s="5"/>
      <c s="5"/>
      <c s="5"/>
      <c s="5"/>
      <c s="5"/>
      <c s="5">
        <f t="shared" si="5"/>
        <v>0</v>
      </c>
      <c s="16">
        <f t="shared" si="2"/>
        <v>0</v>
      </c>
      <c r="P25" s="24"/>
      <c r="R25" s="24"/>
      <c s="29"/>
      <c s="29"/>
      <c s="30"/>
      <c r="W25" s="32"/>
    </row>
    <row r="26" spans="1:23" ht="15.75">
      <c r="A26" s="4"/>
      <c s="14" t="s">
        <v>48</v>
      </c>
      <c s="5"/>
      <c s="5">
        <v>42</v>
      </c>
      <c s="5"/>
      <c s="34"/>
      <c s="50">
        <v>42</v>
      </c>
      <c s="5"/>
      <c s="5"/>
      <c s="5"/>
      <c s="5">
        <v>42</v>
      </c>
      <c s="50">
        <v>42</v>
      </c>
      <c s="5">
        <f t="shared" si="5"/>
        <v>168</v>
      </c>
      <c s="16">
        <f t="shared" si="2"/>
        <v>16.800000000000001</v>
      </c>
      <c r="P26" s="24">
        <v>140</v>
      </c>
      <c r="R26" s="24">
        <v>1.1799999999999999</v>
      </c>
      <c s="29"/>
      <c s="29"/>
      <c s="30"/>
      <c r="W26" s="32"/>
    </row>
    <row r="27" spans="1:23" ht="15.75">
      <c r="A27" s="4"/>
      <c s="14" t="s">
        <v>49</v>
      </c>
      <c s="5"/>
      <c s="5"/>
      <c s="5"/>
      <c s="34"/>
      <c s="5"/>
      <c s="5"/>
      <c s="5"/>
      <c s="5"/>
      <c s="5"/>
      <c s="5"/>
      <c s="5">
        <f t="shared" si="5"/>
        <v>0</v>
      </c>
      <c s="16">
        <f t="shared" si="2"/>
        <v>0</v>
      </c>
      <c r="P27" s="24"/>
      <c r="R27" s="24"/>
      <c s="29"/>
      <c s="29"/>
      <c s="30"/>
      <c r="W27" s="32"/>
    </row>
    <row r="28" spans="1:23" ht="19.5" customHeight="1">
      <c r="A28" s="4">
        <v>8</v>
      </c>
      <c s="15" t="s">
        <v>10</v>
      </c>
      <c s="5">
        <f>C29+C30+C31+C32+C33+C34</f>
        <v>100</v>
      </c>
      <c s="5">
        <f t="shared" si="6" ref="D28:L28">D29+D30+D31+D32+D33+D34</f>
        <v>0</v>
      </c>
      <c s="5">
        <f t="shared" si="6"/>
        <v>21.5</v>
      </c>
      <c s="34">
        <f t="shared" si="6"/>
        <v>105</v>
      </c>
      <c s="5">
        <f t="shared" si="6"/>
        <v>100</v>
      </c>
      <c s="5">
        <f t="shared" si="6"/>
        <v>100</v>
      </c>
      <c s="5">
        <f t="shared" si="6"/>
        <v>0</v>
      </c>
      <c s="5"/>
      <c s="5">
        <f t="shared" si="6"/>
        <v>0</v>
      </c>
      <c s="5">
        <f t="shared" si="6"/>
        <v>0</v>
      </c>
      <c s="5">
        <f t="shared" si="5"/>
        <v>426.5</v>
      </c>
      <c s="16">
        <f t="shared" si="2"/>
        <v>42.649999999999999</v>
      </c>
      <c r="P28" s="24"/>
      <c r="R28" s="24"/>
      <c s="29">
        <v>185</v>
      </c>
      <c s="29">
        <f t="shared" si="0"/>
        <v>46.25</v>
      </c>
      <c s="30"/>
      <c r="W28" s="32"/>
    </row>
    <row r="29" spans="1:23" ht="19.5" customHeight="1">
      <c r="A29" s="4"/>
      <c s="14" t="s">
        <v>50</v>
      </c>
      <c s="5">
        <v>100</v>
      </c>
      <c s="5"/>
      <c s="5">
        <v>21.5</v>
      </c>
      <c s="34"/>
      <c s="5">
        <v>100</v>
      </c>
      <c s="5"/>
      <c s="5"/>
      <c s="5"/>
      <c s="5"/>
      <c s="5"/>
      <c s="5">
        <f t="shared" si="5"/>
        <v>221.5</v>
      </c>
      <c s="16">
        <f t="shared" si="2"/>
        <v>22.149999999999999</v>
      </c>
      <c r="P29" s="24">
        <v>65</v>
      </c>
      <c r="R29" s="24">
        <v>1.4399999999999999</v>
      </c>
      <c s="29"/>
      <c s="29"/>
      <c s="30"/>
      <c r="W29" s="32"/>
    </row>
    <row r="30" spans="1:23" ht="19.5" customHeight="1">
      <c r="A30" s="4"/>
      <c s="14" t="s">
        <v>51</v>
      </c>
      <c s="5"/>
      <c s="5"/>
      <c s="5"/>
      <c s="34">
        <v>100</v>
      </c>
      <c s="5"/>
      <c s="5"/>
      <c s="5"/>
      <c s="5"/>
      <c s="5"/>
      <c s="5"/>
      <c s="5">
        <f t="shared" si="7" ref="M30:M34">SUM(C30:L30)</f>
        <v>100</v>
      </c>
      <c s="16">
        <f t="shared" si="2"/>
        <v>10</v>
      </c>
      <c r="P30" s="24">
        <v>200</v>
      </c>
      <c r="R30" s="24">
        <v>4</v>
      </c>
      <c s="29"/>
      <c s="29"/>
      <c s="30"/>
      <c r="W30" s="32"/>
    </row>
    <row r="31" spans="1:23" ht="19.5" customHeight="1">
      <c r="A31" s="4"/>
      <c s="14" t="s">
        <v>52</v>
      </c>
      <c s="5"/>
      <c s="5"/>
      <c s="5"/>
      <c s="34"/>
      <c s="5"/>
      <c s="5"/>
      <c s="5"/>
      <c s="5"/>
      <c s="5"/>
      <c s="5"/>
      <c s="5">
        <f t="shared" si="7"/>
        <v>0</v>
      </c>
      <c s="16">
        <f t="shared" si="2"/>
        <v>0</v>
      </c>
      <c r="P31" s="24">
        <v>135</v>
      </c>
      <c r="R31" s="24">
        <v>1.3500000000000001</v>
      </c>
      <c s="29"/>
      <c s="29"/>
      <c s="30"/>
      <c r="W31" s="32"/>
    </row>
    <row r="32" spans="1:23" ht="19.5" customHeight="1">
      <c r="A32" s="4"/>
      <c s="14" t="s">
        <v>53</v>
      </c>
      <c s="5"/>
      <c s="5"/>
      <c s="5"/>
      <c s="34"/>
      <c s="5"/>
      <c s="5">
        <v>100</v>
      </c>
      <c s="5"/>
      <c s="5"/>
      <c s="5"/>
      <c s="5"/>
      <c s="5">
        <f t="shared" si="7"/>
        <v>100</v>
      </c>
      <c s="16">
        <f t="shared" si="2"/>
        <v>10</v>
      </c>
      <c r="P32" s="24">
        <v>180</v>
      </c>
      <c r="R32" s="24">
        <v>1.8</v>
      </c>
      <c s="29"/>
      <c s="29"/>
      <c s="30"/>
      <c r="W32" s="32"/>
    </row>
    <row r="33" spans="1:23" ht="19.5" customHeight="1">
      <c r="A33" s="4"/>
      <c s="14" t="s">
        <v>54</v>
      </c>
      <c s="5"/>
      <c s="5"/>
      <c s="5"/>
      <c s="34"/>
      <c s="5"/>
      <c s="5"/>
      <c s="5"/>
      <c s="5"/>
      <c s="5"/>
      <c s="5"/>
      <c s="5">
        <f t="shared" si="7"/>
        <v>0</v>
      </c>
      <c s="16">
        <f t="shared" si="2"/>
        <v>0</v>
      </c>
      <c r="P33" s="24"/>
      <c r="R33" s="24"/>
      <c s="29"/>
      <c s="29"/>
      <c s="30"/>
      <c r="W33" s="32"/>
    </row>
    <row r="34" spans="1:23" ht="19.5" customHeight="1">
      <c r="A34" s="4"/>
      <c s="14" t="s">
        <v>55</v>
      </c>
      <c s="5"/>
      <c s="5"/>
      <c s="5"/>
      <c s="34">
        <v>5</v>
      </c>
      <c s="5"/>
      <c s="5"/>
      <c s="5"/>
      <c s="5"/>
      <c s="5"/>
      <c s="5"/>
      <c s="5">
        <f t="shared" si="7"/>
        <v>5</v>
      </c>
      <c s="16">
        <f t="shared" si="2"/>
        <v>0.5</v>
      </c>
      <c r="P34" s="24">
        <v>150</v>
      </c>
      <c r="R34" s="24">
        <v>0.074999999999999997</v>
      </c>
      <c s="29"/>
      <c s="29"/>
      <c s="30"/>
      <c r="W34" s="32"/>
    </row>
    <row r="35" spans="1:23" ht="19.5" customHeight="1">
      <c r="A35" s="4">
        <v>9</v>
      </c>
      <c s="7" t="s">
        <v>9</v>
      </c>
      <c s="5"/>
      <c s="5"/>
      <c s="5"/>
      <c s="34"/>
      <c s="5"/>
      <c s="5"/>
      <c s="5"/>
      <c s="5"/>
      <c s="5"/>
      <c s="5"/>
      <c s="5">
        <f t="shared" si="1"/>
        <v>0</v>
      </c>
      <c s="16">
        <f t="shared" si="2"/>
        <v>0</v>
      </c>
      <c r="P35" s="24"/>
      <c r="R35" s="24"/>
      <c s="29">
        <v>15</v>
      </c>
      <c s="29">
        <f t="shared" si="0"/>
        <v>3.75</v>
      </c>
      <c s="30"/>
      <c r="W35" s="32"/>
    </row>
    <row r="36" spans="1:23" ht="31.5">
      <c r="A36" s="4">
        <v>10</v>
      </c>
      <c s="7" t="s">
        <v>56</v>
      </c>
      <c s="5"/>
      <c s="5"/>
      <c s="5"/>
      <c s="34"/>
      <c s="5"/>
      <c s="5"/>
      <c s="5"/>
      <c s="5"/>
      <c s="5"/>
      <c s="5"/>
      <c s="5">
        <f t="shared" si="8" ref="M36">SUM(C36:L36)</f>
        <v>0</v>
      </c>
      <c s="16">
        <f t="shared" si="9" ref="N36">M36/10</f>
        <v>0</v>
      </c>
      <c r="P36" s="24"/>
      <c r="R36" s="24"/>
      <c s="29">
        <v>200</v>
      </c>
      <c s="29">
        <f t="shared" si="0"/>
        <v>50</v>
      </c>
      <c s="30"/>
      <c r="W36" s="32"/>
    </row>
    <row r="37" spans="1:23" ht="19.5" customHeight="1">
      <c r="A37" s="4">
        <v>11</v>
      </c>
      <c s="41" t="s">
        <v>70</v>
      </c>
      <c s="42"/>
      <c s="42">
        <v>63.399999999999999</v>
      </c>
      <c s="42"/>
      <c s="36"/>
      <c s="42"/>
      <c s="42"/>
      <c s="42">
        <v>65.700000000000003</v>
      </c>
      <c s="42"/>
      <c s="42">
        <v>69.400000000000006</v>
      </c>
      <c s="42"/>
      <c s="42">
        <f t="shared" si="1"/>
        <v>198.5</v>
      </c>
      <c s="43">
        <f t="shared" si="2"/>
        <v>19.850000000000001</v>
      </c>
      <c s="44"/>
      <c s="45">
        <v>500</v>
      </c>
      <c s="44"/>
      <c s="45">
        <v>13.75</v>
      </c>
      <c s="46">
        <v>70</v>
      </c>
      <c s="46">
        <f t="shared" si="0"/>
        <v>17.5</v>
      </c>
      <c s="30"/>
      <c r="W37" s="32"/>
    </row>
    <row r="38" spans="1:23" ht="19.5" customHeight="1">
      <c r="A38" s="4">
        <v>12</v>
      </c>
      <c s="7" t="s">
        <v>57</v>
      </c>
      <c s="5"/>
      <c s="5"/>
      <c s="5"/>
      <c s="34"/>
      <c s="5"/>
      <c s="5"/>
      <c s="5"/>
      <c s="5"/>
      <c s="5"/>
      <c s="5"/>
      <c s="5">
        <f t="shared" si="10" ref="M38">SUM(C38:L38)</f>
        <v>0</v>
      </c>
      <c s="16">
        <f t="shared" si="11" ref="N38">M38/10</f>
        <v>0</v>
      </c>
      <c r="P38" s="24"/>
      <c r="R38" s="24"/>
      <c s="29">
        <v>30</v>
      </c>
      <c s="29">
        <f t="shared" si="0"/>
        <v>7.5</v>
      </c>
      <c s="30"/>
      <c r="W38" s="32"/>
    </row>
    <row r="39" spans="1:24" ht="31.5">
      <c r="A39" s="4">
        <v>13</v>
      </c>
      <c s="35" t="s">
        <v>58</v>
      </c>
      <c s="36"/>
      <c s="36"/>
      <c s="36"/>
      <c s="36">
        <v>142</v>
      </c>
      <c s="36"/>
      <c s="36"/>
      <c s="36"/>
      <c s="36"/>
      <c s="36"/>
      <c s="36"/>
      <c s="36">
        <f t="shared" si="1"/>
        <v>142</v>
      </c>
      <c s="37">
        <f t="shared" si="2"/>
        <v>14.199999999999999</v>
      </c>
      <c s="38"/>
      <c s="39"/>
      <c s="38"/>
      <c s="39"/>
      <c s="40">
        <v>35</v>
      </c>
      <c s="40">
        <f t="shared" si="0"/>
        <v>8.75</v>
      </c>
      <c s="30"/>
      <c r="W39" s="33">
        <v>11</v>
      </c>
      <c s="49">
        <f>W39-N39</f>
        <v>-3.1999999999999993</v>
      </c>
    </row>
    <row r="40" spans="1:24" ht="31.5">
      <c r="A40" s="4">
        <v>14</v>
      </c>
      <c s="7" t="s">
        <v>59</v>
      </c>
      <c s="5"/>
      <c s="5"/>
      <c s="5"/>
      <c s="34"/>
      <c s="5"/>
      <c s="5"/>
      <c s="5"/>
      <c s="5"/>
      <c s="5"/>
      <c s="5"/>
      <c s="5">
        <f t="shared" si="1"/>
        <v>0</v>
      </c>
      <c s="16">
        <f t="shared" si="2"/>
        <v>0</v>
      </c>
      <c r="P40" s="24"/>
      <c r="R40" s="24"/>
      <c s="29">
        <v>58</v>
      </c>
      <c s="29">
        <f t="shared" si="0"/>
        <v>14.5</v>
      </c>
      <c s="30"/>
      <c r="W40" s="33">
        <v>16.875</v>
      </c>
      <c s="49">
        <f>W40-N40</f>
        <v>16.875</v>
      </c>
    </row>
    <row r="41" spans="1:23" ht="19.5" customHeight="1">
      <c r="A41" s="4">
        <v>15</v>
      </c>
      <c s="7" t="s">
        <v>65</v>
      </c>
      <c s="5">
        <v>240</v>
      </c>
      <c s="5">
        <v>115.09999999999999</v>
      </c>
      <c s="5"/>
      <c s="34"/>
      <c s="5">
        <v>51.700000000000003</v>
      </c>
      <c s="5">
        <v>300</v>
      </c>
      <c s="5">
        <v>27</v>
      </c>
      <c s="5"/>
      <c s="5">
        <v>116</v>
      </c>
      <c s="5">
        <v>51.700000000000003</v>
      </c>
      <c s="5">
        <f t="shared" si="1"/>
        <v>901.5</v>
      </c>
      <c s="16">
        <f t="shared" si="2"/>
        <v>90.150000000000006</v>
      </c>
      <c r="P41" s="24">
        <v>57.5</v>
      </c>
      <c r="R41" s="24">
        <v>5.5199999999999996</v>
      </c>
      <c s="29">
        <v>300</v>
      </c>
      <c s="29">
        <f t="shared" si="0"/>
        <v>75</v>
      </c>
      <c s="30"/>
      <c r="W41" s="32"/>
    </row>
    <row r="42" spans="1:23" ht="19.5" customHeight="1">
      <c r="A42" s="4">
        <v>16</v>
      </c>
      <c s="7" t="s">
        <v>66</v>
      </c>
      <c s="5"/>
      <c s="5"/>
      <c s="5"/>
      <c s="34"/>
      <c s="5"/>
      <c s="5"/>
      <c s="5"/>
      <c s="5"/>
      <c s="5"/>
      <c s="5"/>
      <c s="5">
        <f t="shared" si="12" ref="M42">SUM(C42:L42)</f>
        <v>0</v>
      </c>
      <c s="16">
        <f t="shared" si="13" ref="N42">M42/10</f>
        <v>0</v>
      </c>
      <c r="P42" s="24"/>
      <c r="R42" s="24"/>
      <c s="29">
        <v>150</v>
      </c>
      <c s="29">
        <f t="shared" si="0"/>
        <v>37.5</v>
      </c>
      <c s="30"/>
      <c r="W42" s="32"/>
    </row>
    <row r="43" spans="1:23" ht="19.5" customHeight="1">
      <c r="A43" s="4">
        <v>17</v>
      </c>
      <c s="7" t="s">
        <v>67</v>
      </c>
      <c s="5"/>
      <c s="5"/>
      <c s="5">
        <v>158.09999999999999</v>
      </c>
      <c s="34"/>
      <c s="5"/>
      <c s="5"/>
      <c s="5"/>
      <c s="5"/>
      <c s="5"/>
      <c s="5"/>
      <c s="5">
        <f t="shared" si="1"/>
        <v>158.09999999999999</v>
      </c>
      <c s="16">
        <f t="shared" si="2"/>
        <v>15.809999999999999</v>
      </c>
      <c r="P43" s="24">
        <v>260</v>
      </c>
      <c r="R43" s="24">
        <v>7.5999999999999996</v>
      </c>
      <c s="29">
        <v>50</v>
      </c>
      <c s="29">
        <f t="shared" si="0"/>
        <v>12.5</v>
      </c>
      <c s="30"/>
      <c r="W43" s="32"/>
    </row>
    <row r="44" spans="1:23" ht="19.5" customHeight="1">
      <c r="A44" s="4">
        <v>18</v>
      </c>
      <c s="7" t="s">
        <v>15</v>
      </c>
      <c s="5">
        <v>21</v>
      </c>
      <c s="5"/>
      <c s="5"/>
      <c s="34"/>
      <c s="5"/>
      <c s="5">
        <v>21</v>
      </c>
      <c s="5"/>
      <c s="5"/>
      <c s="5"/>
      <c s="5">
        <v>21</v>
      </c>
      <c s="5">
        <f>SUM(C44:L44)</f>
        <v>63</v>
      </c>
      <c s="16">
        <f>M44/10</f>
        <v>6.2999999999999998</v>
      </c>
      <c r="P44" s="24">
        <v>590</v>
      </c>
      <c r="R44" s="24">
        <v>3.7200000000000002</v>
      </c>
      <c s="29">
        <v>10</v>
      </c>
      <c s="29">
        <f t="shared" si="0"/>
        <v>2.5</v>
      </c>
      <c s="30"/>
      <c r="W44" s="32"/>
    </row>
    <row r="45" spans="1:23" ht="19.5" customHeight="1">
      <c r="A45" s="4">
        <v>19</v>
      </c>
      <c s="7" t="s">
        <v>4</v>
      </c>
      <c s="5"/>
      <c s="5"/>
      <c s="5">
        <v>5.9000000000000004</v>
      </c>
      <c s="34"/>
      <c s="5"/>
      <c s="5"/>
      <c s="5"/>
      <c s="5"/>
      <c s="5"/>
      <c s="5"/>
      <c s="5">
        <f t="shared" si="1"/>
        <v>5.9000000000000004</v>
      </c>
      <c s="16">
        <f t="shared" si="2"/>
        <v>0.59000000000000008</v>
      </c>
      <c r="P45" s="24">
        <v>174</v>
      </c>
      <c r="R45" s="24">
        <v>0.14000000000000001</v>
      </c>
      <c s="29">
        <v>10</v>
      </c>
      <c s="29">
        <f t="shared" si="0"/>
        <v>2.5</v>
      </c>
      <c s="30"/>
      <c r="W45" s="32"/>
    </row>
    <row r="46" spans="1:23" ht="19.5" customHeight="1">
      <c r="A46" s="4">
        <v>20</v>
      </c>
      <c s="7" t="s">
        <v>14</v>
      </c>
      <c s="5">
        <v>5</v>
      </c>
      <c s="5">
        <v>4.7000000000000002</v>
      </c>
      <c s="5">
        <v>5.9000000000000004</v>
      </c>
      <c s="34"/>
      <c s="5">
        <v>24.100000000000001</v>
      </c>
      <c s="5">
        <v>5</v>
      </c>
      <c s="5">
        <v>9</v>
      </c>
      <c s="5"/>
      <c s="5">
        <v>4.2000000000000002</v>
      </c>
      <c s="5">
        <v>24.100000000000001</v>
      </c>
      <c s="5">
        <f t="shared" si="1"/>
        <v>82</v>
      </c>
      <c s="26">
        <f t="shared" si="2"/>
        <v>8.1999999999999993</v>
      </c>
      <c r="P46" s="24">
        <v>610</v>
      </c>
      <c r="R46" s="24">
        <v>5.3099999999999996</v>
      </c>
      <c s="29">
        <v>30</v>
      </c>
      <c s="29">
        <f t="shared" si="0"/>
        <v>7.5</v>
      </c>
      <c s="30"/>
      <c r="W46" s="32"/>
    </row>
    <row r="47" spans="1:23" ht="19.5" customHeight="1">
      <c r="A47" s="4">
        <v>21</v>
      </c>
      <c s="7" t="s">
        <v>5</v>
      </c>
      <c s="5"/>
      <c s="5"/>
      <c s="5"/>
      <c s="34">
        <v>12</v>
      </c>
      <c s="5"/>
      <c s="5"/>
      <c s="5">
        <v>4</v>
      </c>
      <c s="5"/>
      <c s="5">
        <v>8</v>
      </c>
      <c s="5"/>
      <c s="5">
        <f t="shared" si="1"/>
        <v>24</v>
      </c>
      <c s="16">
        <f t="shared" si="2"/>
        <v>2.3999999999999999</v>
      </c>
      <c r="P47" s="24">
        <v>126</v>
      </c>
      <c r="R47" s="24">
        <v>0.19</v>
      </c>
      <c s="29">
        <v>15</v>
      </c>
      <c s="29">
        <f t="shared" si="0"/>
        <v>3.75</v>
      </c>
      <c s="30"/>
      <c r="W47" s="32"/>
    </row>
    <row r="48" spans="1:23" ht="19.5" customHeight="1">
      <c r="A48" s="4">
        <v>22</v>
      </c>
      <c s="7" t="s">
        <v>60</v>
      </c>
      <c s="5"/>
      <c s="5"/>
      <c s="5">
        <v>0.10000000000000001</v>
      </c>
      <c s="34"/>
      <c s="5">
        <v>2.2999999999999998</v>
      </c>
      <c s="5"/>
      <c s="5"/>
      <c s="5"/>
      <c s="5"/>
      <c s="5">
        <v>2.2999999999999998</v>
      </c>
      <c s="5">
        <f t="shared" si="1"/>
        <v>4.6999999999999993</v>
      </c>
      <c s="16">
        <f t="shared" si="2"/>
        <v>0.46999999999999992</v>
      </c>
      <c r="P48" s="24">
        <v>7.5</v>
      </c>
      <c r="R48" s="24">
        <v>3.75</v>
      </c>
      <c s="29">
        <v>1</v>
      </c>
      <c s="29">
        <f t="shared" si="0"/>
        <v>0.25</v>
      </c>
      <c s="30"/>
      <c r="W48" s="32"/>
    </row>
    <row r="49" spans="1:23" ht="19.5" customHeight="1">
      <c r="A49" s="4">
        <v>23</v>
      </c>
      <c s="7" t="s">
        <v>68</v>
      </c>
      <c s="5">
        <v>24</v>
      </c>
      <c s="5">
        <v>15</v>
      </c>
      <c s="5">
        <v>26.600000000000001</v>
      </c>
      <c s="34"/>
      <c s="5">
        <v>15</v>
      </c>
      <c s="5">
        <v>21</v>
      </c>
      <c s="5">
        <v>17</v>
      </c>
      <c s="5"/>
      <c s="5">
        <v>15.199999999999999</v>
      </c>
      <c s="5">
        <v>15</v>
      </c>
      <c s="5">
        <f t="shared" si="1"/>
        <v>148.79999999999998</v>
      </c>
      <c s="16">
        <f t="shared" si="2"/>
        <v>14.879999999999999</v>
      </c>
      <c r="P49" s="24">
        <v>73</v>
      </c>
      <c r="R49" s="24">
        <v>1.22</v>
      </c>
      <c s="29">
        <v>30</v>
      </c>
      <c s="29">
        <f t="shared" si="0"/>
        <v>7.5</v>
      </c>
      <c s="30"/>
      <c r="W49" s="32"/>
    </row>
    <row r="50" spans="1:23" ht="19.5" customHeight="1">
      <c r="A50" s="4">
        <v>24</v>
      </c>
      <c s="7" t="s">
        <v>7</v>
      </c>
      <c s="5"/>
      <c s="5"/>
      <c s="5"/>
      <c s="34"/>
      <c s="5"/>
      <c s="5"/>
      <c s="5"/>
      <c s="5"/>
      <c s="5"/>
      <c s="5"/>
      <c s="5">
        <f t="shared" si="1"/>
        <v>0</v>
      </c>
      <c s="16">
        <f t="shared" si="2"/>
        <v>0</v>
      </c>
      <c r="P50" s="24"/>
      <c r="R50" s="24"/>
      <c s="29">
        <v>10</v>
      </c>
      <c s="29">
        <f t="shared" si="0"/>
        <v>2.5</v>
      </c>
      <c s="30"/>
      <c r="W50" s="32"/>
    </row>
    <row r="51" spans="1:23" ht="19.5" customHeight="1">
      <c r="A51" s="4">
        <v>25</v>
      </c>
      <c s="7" t="s">
        <v>8</v>
      </c>
      <c s="5"/>
      <c s="5"/>
      <c s="5">
        <v>0.59999999999999998</v>
      </c>
      <c s="34">
        <v>0.59999999999999998</v>
      </c>
      <c s="5">
        <v>0.59999999999999998</v>
      </c>
      <c s="5"/>
      <c s="5">
        <v>0.59999999999999998</v>
      </c>
      <c s="5"/>
      <c s="5"/>
      <c s="5">
        <v>0.59999999999999998</v>
      </c>
      <c s="5">
        <f t="shared" si="1"/>
        <v>3</v>
      </c>
      <c s="16">
        <f t="shared" si="2"/>
        <v>0.29999999999999999</v>
      </c>
      <c r="P51" s="24">
        <v>310</v>
      </c>
      <c r="R51" s="24">
        <v>0.11</v>
      </c>
      <c s="29">
        <v>1</v>
      </c>
      <c s="29">
        <f t="shared" si="0"/>
        <v>0.25</v>
      </c>
      <c s="30"/>
      <c r="W51" s="32"/>
    </row>
    <row r="52" spans="1:23" ht="19.5" customHeight="1">
      <c r="A52" s="4">
        <v>26</v>
      </c>
      <c s="7" t="s">
        <v>16</v>
      </c>
      <c s="5">
        <v>4</v>
      </c>
      <c s="5"/>
      <c s="5"/>
      <c s="34"/>
      <c s="5"/>
      <c s="5"/>
      <c s="5"/>
      <c s="5"/>
      <c s="5"/>
      <c s="5"/>
      <c s="5">
        <f>SUM(C52:L52)</f>
        <v>4</v>
      </c>
      <c s="16">
        <f>M52/10</f>
        <v>0.40000000000000002</v>
      </c>
      <c r="P52" s="24">
        <v>210</v>
      </c>
      <c r="R52" s="24">
        <v>0.084000000000000005</v>
      </c>
      <c s="29">
        <v>1</v>
      </c>
      <c s="29">
        <f t="shared" si="0"/>
        <v>0.25</v>
      </c>
      <c s="30"/>
      <c r="W52" s="32"/>
    </row>
    <row r="53" spans="1:23" ht="19.5" customHeight="1">
      <c r="A53" s="4">
        <v>27</v>
      </c>
      <c s="7" t="s">
        <v>17</v>
      </c>
      <c s="5"/>
      <c s="5">
        <v>4</v>
      </c>
      <c s="5"/>
      <c s="34"/>
      <c s="5"/>
      <c s="5">
        <v>4</v>
      </c>
      <c s="5"/>
      <c s="5"/>
      <c s="5">
        <v>4</v>
      </c>
      <c s="5"/>
      <c s="5">
        <f>SUM(C53:L53)</f>
        <v>12</v>
      </c>
      <c s="16">
        <f>M53/10</f>
        <v>1.2</v>
      </c>
      <c r="P53" s="24">
        <v>310</v>
      </c>
      <c r="R53" s="24">
        <v>0.372</v>
      </c>
      <c s="29">
        <v>2</v>
      </c>
      <c s="29">
        <f t="shared" si="0"/>
        <v>0.5</v>
      </c>
      <c s="30"/>
      <c r="W53" s="32"/>
    </row>
    <row r="54" spans="1:23" ht="19.5" customHeight="1">
      <c r="A54" s="4">
        <v>28</v>
      </c>
      <c s="7" t="s">
        <v>61</v>
      </c>
      <c s="5"/>
      <c s="5"/>
      <c s="5"/>
      <c s="34"/>
      <c s="5"/>
      <c s="5"/>
      <c s="5"/>
      <c s="5"/>
      <c s="5"/>
      <c s="5"/>
      <c s="5">
        <f t="shared" si="14" ref="M54:M55">SUM(C54:L54)</f>
        <v>0</v>
      </c>
      <c s="16">
        <f t="shared" si="15" ref="N54:N55">M54/10</f>
        <v>0</v>
      </c>
      <c r="P54" s="24"/>
      <c r="R54" s="24"/>
      <c s="29">
        <v>0.20000000000000001</v>
      </c>
      <c s="29">
        <f t="shared" si="0"/>
        <v>0.050000000000000003</v>
      </c>
      <c s="30"/>
      <c r="W54" s="32"/>
    </row>
    <row r="55" spans="1:23" ht="19.5" customHeight="1">
      <c r="A55" s="4">
        <v>29</v>
      </c>
      <c s="7" t="s">
        <v>62</v>
      </c>
      <c s="5"/>
      <c s="5"/>
      <c s="5"/>
      <c s="34"/>
      <c s="5"/>
      <c s="5"/>
      <c s="5"/>
      <c s="5"/>
      <c s="5"/>
      <c s="5"/>
      <c s="5">
        <f t="shared" si="14"/>
        <v>0</v>
      </c>
      <c s="16">
        <f t="shared" si="15"/>
        <v>0</v>
      </c>
      <c r="P55" s="24"/>
      <c r="R55" s="24"/>
      <c s="29">
        <v>3</v>
      </c>
      <c s="29">
        <f t="shared" si="0"/>
        <v>0.75</v>
      </c>
      <c s="30"/>
      <c r="W55" s="32"/>
    </row>
    <row r="56" spans="1:23" ht="19.5" customHeight="1">
      <c r="A56" s="4">
        <v>30</v>
      </c>
      <c s="7" t="s">
        <v>69</v>
      </c>
      <c s="5">
        <v>0.29999999999999999</v>
      </c>
      <c s="5">
        <v>1.1000000000000001</v>
      </c>
      <c s="5">
        <v>0.5</v>
      </c>
      <c s="34">
        <v>0.59999999999999998</v>
      </c>
      <c s="5"/>
      <c s="5">
        <v>0.5</v>
      </c>
      <c s="5">
        <v>0.29999999999999999</v>
      </c>
      <c s="5"/>
      <c s="5">
        <v>0.80000000000000004</v>
      </c>
      <c s="5"/>
      <c s="5">
        <f>SUM(C56:L56)</f>
        <v>4.0999999999999996</v>
      </c>
      <c s="16">
        <f>M56/10</f>
        <v>0.40999999999999998</v>
      </c>
      <c r="P56" s="24">
        <v>17</v>
      </c>
      <c r="R56" s="24">
        <v>0.0070000000000000001</v>
      </c>
      <c s="29">
        <v>3</v>
      </c>
      <c s="29">
        <f t="shared" si="0"/>
        <v>0.75</v>
      </c>
      <c s="30"/>
      <c r="W56" s="32"/>
    </row>
    <row r="57" spans="1:23" ht="19.5" customHeight="1">
      <c r="A57" s="4">
        <v>31</v>
      </c>
      <c s="7" t="s">
        <v>63</v>
      </c>
      <c s="5"/>
      <c s="5"/>
      <c s="5"/>
      <c s="5"/>
      <c s="5"/>
      <c s="5"/>
      <c s="5"/>
      <c s="5"/>
      <c s="5"/>
      <c s="5"/>
      <c s="5">
        <f t="shared" si="1"/>
        <v>0</v>
      </c>
      <c s="16">
        <f t="shared" si="2"/>
        <v>0</v>
      </c>
      <c r="P57" s="24"/>
      <c r="R57" s="24"/>
      <c s="29">
        <v>2</v>
      </c>
      <c s="29">
        <f t="shared" si="0"/>
        <v>0.5</v>
      </c>
      <c s="30"/>
      <c r="W57" s="32"/>
    </row>
    <row r="58" spans="2:23" ht="22.5" customHeight="1">
      <c r="B58" s="10" t="s">
        <v>32</v>
      </c>
      <c s="10"/>
      <c s="10"/>
      <c s="10"/>
      <c s="10"/>
      <c s="10"/>
      <c s="10"/>
      <c s="10"/>
      <c s="10"/>
      <c s="10"/>
      <c s="10"/>
      <c s="11"/>
      <c s="17">
        <f>SUM(N6:N57)</f>
        <v>392.59999999999997</v>
      </c>
      <c r="P58" s="24"/>
      <c r="R58" s="25">
        <f>SUM(R26:R56)</f>
        <v>51.617999999999995</v>
      </c>
      <c s="29"/>
      <c s="29"/>
      <c s="30"/>
      <c r="W58" s="32"/>
    </row>
    <row r="60" spans="2:3" ht="37.5" customHeight="1">
      <c r="B60" s="7" t="s">
        <v>74</v>
      </c>
      <c s="19">
        <v>11642400</v>
      </c>
    </row>
    <row r="61" spans="2:3" ht="37.5" customHeight="1">
      <c r="B61" s="7" t="s">
        <v>82</v>
      </c>
      <c s="19">
        <v>3676500</v>
      </c>
    </row>
    <row r="62" spans="2:3" ht="33.75" customHeight="1">
      <c r="B62" s="7" t="s">
        <v>73</v>
      </c>
      <c s="19">
        <v>60.840000000000003</v>
      </c>
    </row>
    <row r="63" spans="2:3" ht="15.75">
      <c r="B63" s="18" t="s">
        <v>71</v>
      </c>
      <c s="19">
        <v>60.840000000000003</v>
      </c>
    </row>
    <row r="64" spans="2:3" ht="15.75">
      <c r="B64" s="18" t="s">
        <v>72</v>
      </c>
      <c s="19">
        <v>0</v>
      </c>
    </row>
    <row r="66" spans="2:7" ht="19.5" customHeight="1">
      <c r="B66" s="22" t="s">
        <v>79</v>
      </c>
      <c s="20"/>
      <c s="20"/>
      <c s="20"/>
      <c s="20"/>
      <c s="20"/>
    </row>
    <row r="67" spans="2:2" ht="18.75">
      <c r="B67" s="21" t="s">
        <v>75</v>
      </c>
    </row>
    <row r="68" spans="2:2" ht="18.75">
      <c r="B68" s="21" t="s">
        <v>76</v>
      </c>
    </row>
    <row r="69" spans="2:13" ht="18.75">
      <c r="B69" s="21" t="s">
        <v>77</v>
      </c>
      <c r="M69" s="23" t="s">
        <v>78</v>
      </c>
    </row>
  </sheetData>
  <mergeCells count="8">
    <mergeCell ref="P3:P4"/>
    <mergeCell ref="R3:R4"/>
    <mergeCell ref="B2:N2"/>
    <mergeCell ref="B5:M5"/>
    <mergeCell ref="N3:N4"/>
    <mergeCell ref="B3:B4"/>
    <mergeCell ref="C3:L3"/>
    <mergeCell ref="M3:M4"/>
  </mergeCells>
  <pageMargins left="0" right="0" top="0" bottom="0" header="0.31496062992126" footer="0.31496062992126"/>
  <pageSetup fitToHeight="9" orientation="portrait" paperSize="9" scale="5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Z345"/>
  <sheetViews>
    <sheetView zoomScale="70" zoomScaleNormal="70" workbookViewId="0" topLeftCell="A1">
      <selection pane="topLeft" activeCell="E1" sqref="E1"/>
    </sheetView>
  </sheetViews>
  <sheetFormatPr defaultRowHeight="15.75"/>
  <cols>
    <col min="1" max="1" width="9.71428571428571" style="51" customWidth="1"/>
    <col min="2" max="2" width="12.7142857142857" style="51" customWidth="1"/>
    <col min="3" max="3" width="24.4285714285714" style="51" customWidth="1"/>
    <col min="4" max="4" width="10.7142857142857" style="53" customWidth="1"/>
    <col min="5" max="5" width="27.8571428571429" style="53" customWidth="1"/>
    <col min="6" max="6" width="7.85714285714286" style="53" customWidth="1"/>
    <col min="7" max="7" width="6.85714285714286" style="53" customWidth="1"/>
    <col min="8" max="8" width="5.71428571428571" style="53" customWidth="1"/>
    <col min="9" max="9" width="4.71428571428571" style="53" customWidth="1"/>
    <col min="10" max="11" width="9.14285714285714" style="3" customWidth="1"/>
    <col min="12" max="16384" width="9.14285714285714" style="53"/>
  </cols>
  <sheetData>
    <row r="1" spans="2:9" ht="15.75">
      <c r="B1" s="52"/>
      <c r="E1" s="53" t="s">
        <v>88</v>
      </c>
      <c s="53" t="s">
        <v>89</v>
      </c>
      <c s="53">
        <f>6.7/45*1000</f>
        <v>148.88888888888891</v>
      </c>
      <c s="53" t="s">
        <v>89</v>
      </c>
      <c s="53">
        <f>6.7/55*1000</f>
        <v>121.81818181818183</v>
      </c>
    </row>
    <row r="2" spans="1:11" s="57" customFormat="1" ht="47.25">
      <c r="A2" s="54" t="s">
        <v>90</v>
      </c>
      <c s="55">
        <f>(B4+B29+B73+B105+B133+B186+B208+B250+B277+B320)/10</f>
        <v>55.778113465789467</v>
      </c>
      <c s="56"/>
      <c s="57" t="s">
        <v>91</v>
      </c>
      <c r="J2" s="58" t="s">
        <v>92</v>
      </c>
      <c s="58" t="s">
        <v>93</v>
      </c>
    </row>
    <row r="3" spans="1:11" ht="15.75">
      <c r="A3" s="51" t="s">
        <v>19</v>
      </c>
      <c s="51" t="s">
        <v>71</v>
      </c>
      <c s="51" t="s">
        <v>94</v>
      </c>
      <c s="53">
        <v>100</v>
      </c>
      <c r="J3" s="3">
        <v>65</v>
      </c>
      <c s="59">
        <f>J3*D3/1000</f>
        <v>6.5</v>
      </c>
    </row>
    <row r="4" spans="1:11" ht="15.75">
      <c r="A4" s="51" t="s">
        <v>95</v>
      </c>
      <c s="60">
        <f>K3+K4+K5+K17+K26</f>
        <v>38.745930000000001</v>
      </c>
      <c s="51" t="s">
        <v>96</v>
      </c>
      <c s="53">
        <v>20</v>
      </c>
      <c r="F4" s="53">
        <v>21</v>
      </c>
      <c r="J4" s="3">
        <v>498</v>
      </c>
      <c s="59">
        <f>F4*J4/1000</f>
        <v>10.458</v>
      </c>
    </row>
    <row r="5" spans="2:11" ht="15.75">
      <c r="B5" s="51">
        <f>D3+D4+D5+D17+D26</f>
        <v>560</v>
      </c>
      <c s="51" t="s">
        <v>97</v>
      </c>
      <c s="53">
        <v>200</v>
      </c>
      <c s="324" t="s">
        <v>98</v>
      </c>
      <c s="215" t="s">
        <v>99</v>
      </c>
      <c s="216"/>
      <c s="216"/>
      <c s="216"/>
      <c r="K5" s="59">
        <f>SUM(K8:K13)</f>
        <v>12.429930000000001</v>
      </c>
    </row>
    <row r="6" spans="5:9" ht="15.75">
      <c r="E6" s="325"/>
      <c s="217">
        <v>1</v>
      </c>
      <c s="218"/>
      <c s="218"/>
      <c s="219"/>
    </row>
    <row r="7" spans="5:9" ht="15.75">
      <c r="E7" s="326"/>
      <c s="136" t="s">
        <v>100</v>
      </c>
      <c s="137"/>
      <c s="136" t="s">
        <v>101</v>
      </c>
      <c s="137"/>
    </row>
    <row r="8" spans="5:11" ht="15.75">
      <c r="E8" s="61" t="s">
        <v>102</v>
      </c>
      <c s="62">
        <v>40</v>
      </c>
      <c s="63"/>
      <c s="62">
        <f t="shared" si="0" ref="H8:H13">F8</f>
        <v>40</v>
      </c>
      <c s="63"/>
      <c s="3">
        <v>40</v>
      </c>
      <c s="3">
        <f t="shared" si="1" ref="K8:K13">J8*F8/1000</f>
        <v>1.6000000000000001</v>
      </c>
    </row>
    <row r="9" spans="5:11" ht="15.75">
      <c r="E9" s="64" t="s">
        <v>103</v>
      </c>
      <c s="65">
        <v>140</v>
      </c>
      <c s="66"/>
      <c s="65">
        <f t="shared" si="0"/>
        <v>140</v>
      </c>
      <c s="66"/>
      <c s="3">
        <v>57.5</v>
      </c>
      <c s="3">
        <f t="shared" si="1"/>
        <v>8.0500000000000007</v>
      </c>
    </row>
    <row r="10" spans="5:11" ht="15.75">
      <c r="E10" s="64" t="s">
        <v>104</v>
      </c>
      <c s="65">
        <v>60</v>
      </c>
      <c s="66"/>
      <c s="65">
        <f t="shared" si="0"/>
        <v>60</v>
      </c>
      <c s="66"/>
      <c r="K10" s="3">
        <f t="shared" si="1"/>
        <v>0</v>
      </c>
    </row>
    <row r="11" spans="5:11" ht="15.75">
      <c r="E11" s="64" t="s">
        <v>105</v>
      </c>
      <c s="65">
        <v>5</v>
      </c>
      <c s="66"/>
      <c s="65">
        <f t="shared" si="0"/>
        <v>5</v>
      </c>
      <c s="66"/>
      <c s="3">
        <v>497.14999999999998</v>
      </c>
      <c s="3">
        <f t="shared" si="1"/>
        <v>2.4857499999999999</v>
      </c>
    </row>
    <row r="12" spans="5:11" ht="15.75">
      <c r="E12" s="64" t="s">
        <v>106</v>
      </c>
      <c s="65">
        <v>0.29999999999999999</v>
      </c>
      <c s="66"/>
      <c s="65">
        <f t="shared" si="0"/>
        <v>0.29999999999999999</v>
      </c>
      <c s="66"/>
      <c s="3">
        <v>17</v>
      </c>
      <c s="3">
        <f t="shared" si="1"/>
        <v>0.0050999999999999995</v>
      </c>
    </row>
    <row r="13" spans="5:11" ht="15.75">
      <c r="E13" s="64" t="s">
        <v>107</v>
      </c>
      <c s="65">
        <v>4</v>
      </c>
      <c s="66"/>
      <c s="65">
        <f t="shared" si="0"/>
        <v>4</v>
      </c>
      <c s="66"/>
      <c s="3">
        <v>72.269999999999996</v>
      </c>
      <c s="3">
        <f t="shared" si="1"/>
        <v>0.28908</v>
      </c>
    </row>
    <row r="14" spans="5:9" ht="15.75">
      <c r="E14" s="64"/>
      <c s="67"/>
      <c s="68"/>
      <c s="67"/>
      <c s="68"/>
    </row>
    <row r="15" spans="1:9" ht="15.75">
      <c r="A15" s="69"/>
      <c r="E15" s="70" t="s">
        <v>108</v>
      </c>
      <c s="117" t="s">
        <v>109</v>
      </c>
      <c s="118"/>
      <c s="220">
        <v>200</v>
      </c>
      <c s="221"/>
    </row>
    <row r="17" spans="3:11" ht="15.75">
      <c r="C17" s="51" t="s">
        <v>110</v>
      </c>
      <c s="53">
        <v>200</v>
      </c>
      <c s="319" t="s">
        <v>98</v>
      </c>
      <c s="222" t="s">
        <v>99</v>
      </c>
      <c s="223"/>
      <c s="223"/>
      <c s="223"/>
      <c r="K17" s="71">
        <f>K20+K21+K22+K23</f>
        <v>7.3504000000000005</v>
      </c>
    </row>
    <row r="18" spans="5:9" ht="15.75">
      <c r="E18" s="320"/>
      <c s="322">
        <v>1</v>
      </c>
      <c s="322"/>
      <c s="322"/>
      <c s="322"/>
    </row>
    <row r="19" spans="5:9" ht="15.75">
      <c r="E19" s="321"/>
      <c s="323" t="s">
        <v>100</v>
      </c>
      <c s="323"/>
      <c s="323" t="s">
        <v>101</v>
      </c>
      <c s="323"/>
    </row>
    <row r="20" spans="5:11" ht="15.75">
      <c r="E20" s="72" t="s">
        <v>16</v>
      </c>
      <c s="73">
        <v>4</v>
      </c>
      <c s="74"/>
      <c s="318">
        <f>F20</f>
        <v>4</v>
      </c>
      <c s="318"/>
      <c s="3">
        <v>272</v>
      </c>
      <c s="3">
        <f>F20*J20/1000</f>
        <v>1.0880000000000001</v>
      </c>
    </row>
    <row r="21" spans="5:11" ht="15.75">
      <c r="E21" s="75" t="s">
        <v>103</v>
      </c>
      <c s="76">
        <v>100</v>
      </c>
      <c s="77"/>
      <c s="318">
        <f>F21</f>
        <v>100</v>
      </c>
      <c s="318"/>
      <c s="3">
        <v>48.170000000000002</v>
      </c>
      <c s="3">
        <f>F21*J21/1000</f>
        <v>4.8170000000000002</v>
      </c>
    </row>
    <row r="22" spans="5:11" ht="15.75">
      <c r="E22" s="75" t="s">
        <v>104</v>
      </c>
      <c s="76">
        <v>110</v>
      </c>
      <c s="77"/>
      <c s="318">
        <f>F22</f>
        <v>110</v>
      </c>
      <c s="318"/>
      <c r="K22" s="3">
        <f>F22*J22/1000</f>
        <v>0</v>
      </c>
    </row>
    <row r="23" spans="5:11" ht="15.75">
      <c r="E23" s="75" t="s">
        <v>111</v>
      </c>
      <c s="78">
        <v>20</v>
      </c>
      <c s="79"/>
      <c s="318">
        <f>F23</f>
        <v>20</v>
      </c>
      <c s="318"/>
      <c s="3">
        <v>72.269999999999996</v>
      </c>
      <c s="3">
        <f>F23*J23/1000</f>
        <v>1.4453999999999998</v>
      </c>
    </row>
    <row r="24" spans="5:9" ht="15.75">
      <c r="E24" s="80" t="s">
        <v>108</v>
      </c>
      <c s="316" t="s">
        <v>109</v>
      </c>
      <c s="316"/>
      <c s="317">
        <v>200</v>
      </c>
      <c s="317"/>
    </row>
    <row r="26" spans="3:11" ht="15.75">
      <c r="C26" s="51" t="s">
        <v>112</v>
      </c>
      <c s="53">
        <v>40</v>
      </c>
      <c r="J26" s="3">
        <v>50.189999999999998</v>
      </c>
      <c s="71">
        <f>J26*D26/1000</f>
        <v>2.0076000000000001</v>
      </c>
    </row>
    <row r="27" spans="1:26" ht="16.5" thickBot="1">
      <c r="A27" s="81"/>
      <c s="81"/>
      <c s="81"/>
      <c s="82"/>
      <c s="82"/>
      <c s="82"/>
      <c s="82"/>
      <c s="82"/>
      <c s="82"/>
      <c s="83"/>
      <c s="83"/>
      <c s="82"/>
      <c s="82"/>
      <c s="82"/>
      <c s="82"/>
      <c s="82"/>
      <c s="82"/>
      <c s="82"/>
      <c s="82"/>
      <c s="82"/>
      <c s="82"/>
      <c s="82"/>
      <c s="82"/>
      <c s="82"/>
      <c s="82"/>
      <c s="82"/>
    </row>
    <row r="28" spans="1:11" ht="15.75">
      <c r="A28" s="51" t="s">
        <v>20</v>
      </c>
      <c s="51" t="s">
        <v>71</v>
      </c>
      <c s="168"/>
      <c s="168"/>
      <c s="168"/>
      <c s="168"/>
      <c s="168"/>
      <c s="168"/>
      <c s="168"/>
      <c s="89"/>
      <c s="89"/>
    </row>
    <row r="29" spans="1:12" ht="15.75">
      <c r="A29" s="51" t="s">
        <v>113</v>
      </c>
      <c s="85">
        <f>K29+K31+K56+K62+K69</f>
        <v>58.925489999999989</v>
      </c>
      <c s="123" t="s">
        <v>337</v>
      </c>
      <c s="124">
        <v>40</v>
      </c>
      <c s="124"/>
      <c s="124">
        <v>42</v>
      </c>
      <c s="124"/>
      <c s="124"/>
      <c s="124"/>
      <c s="111">
        <v>100</v>
      </c>
      <c s="240">
        <f>J29*F29/1000</f>
        <v>4.2000000000000002</v>
      </c>
      <c s="232"/>
    </row>
    <row r="30" spans="2:12" ht="15.75">
      <c r="B30" s="51">
        <f>D28+D31+D56+D62+D69</f>
        <v>480</v>
      </c>
      <c r="K30" s="89"/>
      <c s="232"/>
    </row>
    <row r="31" spans="2:12" ht="15.75">
      <c r="B31" s="52"/>
      <c s="90" t="s">
        <v>114</v>
      </c>
      <c s="53">
        <v>90</v>
      </c>
      <c r="F31" s="224">
        <v>1</v>
      </c>
      <c s="224"/>
      <c s="224"/>
      <c s="224"/>
      <c r="K31" s="84">
        <f>SUM(K33:K52)</f>
        <v>39.507389999999994</v>
      </c>
      <c s="232"/>
    </row>
    <row r="32" spans="6:12" ht="15.75">
      <c r="F32" s="234" t="s">
        <v>100</v>
      </c>
      <c s="225"/>
      <c s="234" t="s">
        <v>101</v>
      </c>
      <c s="225"/>
      <c r="L32" s="232"/>
    </row>
    <row r="33" spans="1:11" ht="15.75">
      <c r="A33" s="53"/>
      <c s="53"/>
      <c r="E33" s="91" t="s">
        <v>115</v>
      </c>
      <c s="91">
        <v>63.359999999999999</v>
      </c>
      <c s="92"/>
      <c s="110">
        <v>46.619999999999997</v>
      </c>
      <c s="110"/>
      <c s="3">
        <v>548</v>
      </c>
      <c s="3">
        <f>F33*J33/1000</f>
        <v>34.72128</v>
      </c>
    </row>
    <row r="34" spans="1:11" ht="15.75">
      <c r="A34" s="53"/>
      <c s="53"/>
      <c r="E34" s="91" t="s">
        <v>103</v>
      </c>
      <c s="91">
        <v>15.119999999999999</v>
      </c>
      <c s="92"/>
      <c s="110">
        <v>15.119999999999999</v>
      </c>
      <c s="110"/>
      <c s="3">
        <v>57.5</v>
      </c>
      <c s="3">
        <f>F34*J34/1000</f>
        <v>0.86939999999999995</v>
      </c>
    </row>
    <row r="35" spans="1:9" ht="15.75">
      <c r="A35" s="53"/>
      <c s="53"/>
      <c r="E35" s="91" t="s">
        <v>116</v>
      </c>
      <c s="91">
        <v>15.119999999999999</v>
      </c>
      <c s="92"/>
      <c s="110">
        <v>15.119999999999999</v>
      </c>
      <c s="110"/>
    </row>
    <row r="36" spans="1:11" ht="15.75">
      <c r="A36" s="53"/>
      <c s="53"/>
      <c r="E36" s="91" t="s">
        <v>117</v>
      </c>
      <c s="91">
        <v>11.34</v>
      </c>
      <c s="92"/>
      <c s="110">
        <v>11.34</v>
      </c>
      <c s="110"/>
      <c s="3">
        <v>50.090000000000003</v>
      </c>
      <c s="3">
        <f>F36*J36/1000</f>
        <v>0.5680206000000001</v>
      </c>
    </row>
    <row r="37" spans="1:11" ht="15.75">
      <c r="A37" s="53"/>
      <c s="53"/>
      <c r="E37" s="91" t="s">
        <v>118</v>
      </c>
      <c s="91">
        <v>6.2999999999999998</v>
      </c>
      <c s="92"/>
      <c s="110">
        <v>6.2999999999999998</v>
      </c>
      <c s="110"/>
      <c s="3">
        <v>200</v>
      </c>
      <c s="3">
        <f>F37*J37/1000</f>
        <v>1.26</v>
      </c>
    </row>
    <row r="38" spans="1:9" ht="15.75">
      <c r="A38" s="53"/>
      <c s="53"/>
      <c r="E38" s="91" t="s">
        <v>119</v>
      </c>
      <c s="91" t="s">
        <v>109</v>
      </c>
      <c s="92"/>
      <c s="110">
        <v>78.120000000000005</v>
      </c>
      <c s="110"/>
    </row>
    <row r="39" spans="1:11" ht="15.75">
      <c r="A39" s="53"/>
      <c s="53"/>
      <c r="E39" s="91" t="s">
        <v>5</v>
      </c>
      <c s="93">
        <v>3.7799999999999998</v>
      </c>
      <c s="94"/>
      <c s="110">
        <v>3.7799999999999998</v>
      </c>
      <c s="110"/>
      <c s="3">
        <v>152</v>
      </c>
      <c s="3">
        <f>F39*J39/1000</f>
        <v>0.57455999999999996</v>
      </c>
    </row>
    <row r="40" spans="1:9" ht="25.5">
      <c r="A40" s="53"/>
      <c s="53"/>
      <c r="E40" s="91" t="s">
        <v>120</v>
      </c>
      <c s="91" t="s">
        <v>109</v>
      </c>
      <c s="92"/>
      <c s="110" t="s">
        <v>109</v>
      </c>
      <c s="110"/>
    </row>
    <row r="41" spans="1:9" ht="15.75">
      <c r="A41" s="53"/>
      <c s="53"/>
      <c r="E41" s="91" t="s">
        <v>121</v>
      </c>
      <c s="91" t="s">
        <v>109</v>
      </c>
      <c s="92"/>
      <c s="110">
        <v>63</v>
      </c>
      <c s="110"/>
    </row>
    <row r="42" spans="1:9" ht="15.75">
      <c r="A42" s="53"/>
      <c s="53"/>
      <c r="E42" s="91" t="s">
        <v>122</v>
      </c>
      <c s="91" t="s">
        <v>109</v>
      </c>
      <c s="92"/>
      <c s="110">
        <v>27</v>
      </c>
      <c s="110"/>
    </row>
    <row r="43" spans="1:9" ht="15.75">
      <c r="A43" s="53"/>
      <c s="53"/>
      <c r="E43" s="91" t="s">
        <v>123</v>
      </c>
      <c s="91">
        <v>24.300000000000001</v>
      </c>
      <c s="92"/>
      <c s="110">
        <v>24.300000000000001</v>
      </c>
      <c s="110"/>
    </row>
    <row r="44" spans="1:9" ht="15.75">
      <c r="A44" s="53"/>
      <c s="53"/>
      <c r="E44" s="91" t="s">
        <v>116</v>
      </c>
      <c s="91">
        <v>24.300000000000001</v>
      </c>
      <c s="92"/>
      <c s="110">
        <v>24.300000000000001</v>
      </c>
      <c s="110"/>
    </row>
    <row r="45" spans="1:11" ht="15.75">
      <c r="A45" s="53"/>
      <c s="53"/>
      <c r="E45" s="91" t="s">
        <v>105</v>
      </c>
      <c s="95">
        <v>1.26</v>
      </c>
      <c s="96"/>
      <c s="110">
        <v>1.26</v>
      </c>
      <c s="110"/>
      <c s="3">
        <v>497.14999999999998</v>
      </c>
      <c s="3">
        <f t="shared" si="2" ref="K45:K52">F45*J45/1000</f>
        <v>0.62640899999999999</v>
      </c>
    </row>
    <row r="46" spans="1:11" ht="15.75">
      <c r="A46" s="53"/>
      <c s="53"/>
      <c r="E46" s="91" t="s">
        <v>34</v>
      </c>
      <c s="91">
        <v>1.26</v>
      </c>
      <c s="92"/>
      <c s="110">
        <v>1.26</v>
      </c>
      <c s="110"/>
      <c s="3">
        <v>37</v>
      </c>
      <c s="3">
        <f t="shared" si="2"/>
        <v>0.046619999999999995</v>
      </c>
    </row>
    <row r="47" spans="1:11" ht="15.75">
      <c r="A47" s="53"/>
      <c s="53"/>
      <c r="E47" s="91" t="s">
        <v>45</v>
      </c>
      <c s="91">
        <v>2.0699999999999998</v>
      </c>
      <c s="92"/>
      <c s="110">
        <v>1.6200000000000001</v>
      </c>
      <c s="110"/>
      <c s="3">
        <v>30</v>
      </c>
      <c s="3">
        <f t="shared" si="2"/>
        <v>0.062099999999999995</v>
      </c>
    </row>
    <row r="48" spans="1:11" ht="15.75">
      <c r="A48" s="53"/>
      <c s="53"/>
      <c r="E48" s="91" t="s">
        <v>44</v>
      </c>
      <c s="91">
        <v>0.63</v>
      </c>
      <c s="92"/>
      <c s="110">
        <v>0.54000000000000004</v>
      </c>
      <c s="110"/>
      <c s="3">
        <v>20</v>
      </c>
      <c s="3">
        <f t="shared" si="2"/>
        <v>0.0126</v>
      </c>
    </row>
    <row r="49" spans="1:11" ht="15.75">
      <c r="A49" s="53"/>
      <c s="53"/>
      <c r="E49" s="91" t="s">
        <v>105</v>
      </c>
      <c s="95">
        <v>0.45000000000000001</v>
      </c>
      <c s="96"/>
      <c s="110">
        <v>0.45000000000000001</v>
      </c>
      <c s="110"/>
      <c s="3">
        <v>497.14999999999998</v>
      </c>
      <c s="3">
        <f t="shared" si="2"/>
        <v>0.22371750000000001</v>
      </c>
    </row>
    <row r="50" spans="1:11" ht="15.75">
      <c r="A50" s="53"/>
      <c s="53"/>
      <c r="E50" s="91" t="s">
        <v>124</v>
      </c>
      <c s="91">
        <v>0.089999999999999997</v>
      </c>
      <c s="92"/>
      <c s="110">
        <v>0.089999999999999997</v>
      </c>
      <c s="110"/>
      <c s="3">
        <v>17</v>
      </c>
      <c s="3">
        <f t="shared" si="2"/>
        <v>0.0015300000000000001</v>
      </c>
    </row>
    <row r="51" spans="1:11" ht="15.75">
      <c r="A51" s="53"/>
      <c s="53"/>
      <c r="E51" s="91" t="s">
        <v>125</v>
      </c>
      <c s="91">
        <v>0.27000000000000002</v>
      </c>
      <c s="92"/>
      <c s="110">
        <v>0.27000000000000002</v>
      </c>
      <c s="110"/>
      <c s="3">
        <v>72.269999999999996</v>
      </c>
      <c s="3">
        <f t="shared" si="2"/>
        <v>0.019512900000000003</v>
      </c>
    </row>
    <row r="52" spans="1:11" ht="15.75">
      <c r="A52" s="53"/>
      <c s="53"/>
      <c r="E52" s="91" t="s">
        <v>126</v>
      </c>
      <c s="91">
        <v>3.7799999999999998</v>
      </c>
      <c s="92"/>
      <c s="110">
        <v>3.7799999999999998</v>
      </c>
      <c s="110"/>
      <c s="3">
        <v>138</v>
      </c>
      <c s="3">
        <f t="shared" si="2"/>
        <v>0.52163999999999999</v>
      </c>
    </row>
    <row r="53" spans="1:9" ht="15.75">
      <c r="A53" s="53"/>
      <c s="53"/>
      <c r="E53" s="97" t="s">
        <v>127</v>
      </c>
      <c s="235">
        <v>90</v>
      </c>
      <c s="236"/>
      <c s="236"/>
      <c s="237"/>
    </row>
    <row r="54" spans="1:9" ht="15.75">
      <c r="A54" s="53"/>
      <c s="53"/>
      <c r="E54" s="98"/>
      <c s="99"/>
      <c s="99"/>
      <c s="100"/>
      <c s="100"/>
    </row>
    <row r="55" spans="1:2" ht="15.75">
      <c r="A55" s="53"/>
      <c s="53"/>
    </row>
    <row r="56" spans="1:11" ht="15.75">
      <c r="A56" s="53"/>
      <c s="53"/>
      <c s="51" t="s">
        <v>128</v>
      </c>
      <c s="53">
        <v>150</v>
      </c>
      <c r="F56" s="204" t="s">
        <v>100</v>
      </c>
      <c s="204"/>
      <c s="204" t="s">
        <v>101</v>
      </c>
      <c s="204"/>
      <c r="K56" s="84">
        <f>K57+K58+K59</f>
        <v>4.70045</v>
      </c>
    </row>
    <row r="57" spans="1:11" ht="15.75">
      <c r="A57" s="53"/>
      <c s="53"/>
      <c r="E57" s="61" t="s">
        <v>129</v>
      </c>
      <c s="62">
        <v>38</v>
      </c>
      <c s="63"/>
      <c s="205">
        <v>38</v>
      </c>
      <c s="205"/>
      <c s="3">
        <v>84</v>
      </c>
      <c s="3">
        <f>J57*F57/1000</f>
        <v>3.1920000000000002</v>
      </c>
    </row>
    <row r="58" spans="1:11" ht="15.75">
      <c r="A58" s="53"/>
      <c s="53"/>
      <c r="E58" s="101" t="s">
        <v>105</v>
      </c>
      <c s="102">
        <v>3</v>
      </c>
      <c s="103"/>
      <c s="206">
        <v>3</v>
      </c>
      <c s="207"/>
      <c s="3">
        <v>497.14999999999998</v>
      </c>
      <c s="3">
        <f>J58*F58/1000</f>
        <v>1.4914499999999997</v>
      </c>
    </row>
    <row r="59" spans="1:11" ht="15.75">
      <c r="A59" s="53"/>
      <c s="53"/>
      <c r="E59" s="61" t="s">
        <v>106</v>
      </c>
      <c s="67">
        <v>1</v>
      </c>
      <c s="68"/>
      <c s="205">
        <v>1</v>
      </c>
      <c s="205"/>
      <c s="3">
        <v>17</v>
      </c>
      <c s="3">
        <f>J59*F59/1000</f>
        <v>0.017000000000000001</v>
      </c>
    </row>
    <row r="60" spans="5:9" ht="15.75">
      <c r="E60" s="70" t="s">
        <v>108</v>
      </c>
      <c s="238" t="s">
        <v>109</v>
      </c>
      <c s="238"/>
      <c s="239">
        <v>150</v>
      </c>
      <c s="239"/>
    </row>
    <row r="61" spans="1:2" ht="15.75">
      <c r="A61" s="53"/>
      <c s="53"/>
    </row>
    <row r="62" spans="3:11" ht="15.75">
      <c r="C62" s="51" t="s">
        <v>130</v>
      </c>
      <c s="53">
        <v>200</v>
      </c>
      <c r="F62" s="204" t="s">
        <v>100</v>
      </c>
      <c s="204"/>
      <c s="204" t="s">
        <v>101</v>
      </c>
      <c s="204"/>
      <c r="K62" s="84">
        <f>SUM(K63:K66)</f>
        <v>8.514050000000001</v>
      </c>
    </row>
    <row r="63" spans="5:11" ht="15.75">
      <c r="E63" s="61" t="s">
        <v>131</v>
      </c>
      <c s="62">
        <v>4</v>
      </c>
      <c s="63"/>
      <c s="205">
        <v>4</v>
      </c>
      <c s="205"/>
      <c s="3">
        <v>420</v>
      </c>
      <c s="3">
        <f>J63*F63/1000</f>
        <v>1.6799999999999999</v>
      </c>
    </row>
    <row r="64" spans="5:11" ht="15.75">
      <c r="E64" s="64" t="s">
        <v>107</v>
      </c>
      <c s="65">
        <v>15</v>
      </c>
      <c s="66"/>
      <c s="206">
        <v>15</v>
      </c>
      <c s="207"/>
      <c s="3">
        <v>72.269999999999996</v>
      </c>
      <c s="3">
        <f>J64*F64/1000</f>
        <v>1.08405</v>
      </c>
    </row>
    <row r="65" spans="5:11" ht="15.75">
      <c r="E65" s="64" t="s">
        <v>65</v>
      </c>
      <c s="65">
        <v>100</v>
      </c>
      <c s="66"/>
      <c s="272">
        <v>100</v>
      </c>
      <c s="274"/>
      <c s="3">
        <v>57.5</v>
      </c>
      <c s="3">
        <f>J65*F65/1000</f>
        <v>5.75</v>
      </c>
    </row>
    <row r="66" spans="5:11" ht="15.75">
      <c r="E66" s="64" t="s">
        <v>104</v>
      </c>
      <c s="67">
        <v>81</v>
      </c>
      <c s="68"/>
      <c s="272">
        <v>81</v>
      </c>
      <c s="274"/>
      <c s="3">
        <v>0</v>
      </c>
      <c s="3">
        <f>J66*F66/1000</f>
        <v>0</v>
      </c>
    </row>
    <row r="67" spans="5:9" ht="15.75">
      <c r="E67" s="70" t="s">
        <v>108</v>
      </c>
      <c s="280" t="s">
        <v>109</v>
      </c>
      <c s="280"/>
      <c s="276">
        <v>200</v>
      </c>
      <c s="276"/>
    </row>
    <row r="69" spans="3:11" ht="15.75">
      <c r="C69" s="51" t="s">
        <v>112</v>
      </c>
      <c s="53">
        <v>40</v>
      </c>
      <c r="J69" s="3">
        <v>50.090000000000003</v>
      </c>
      <c s="84">
        <f>J69*D69/1000</f>
        <v>2.0036</v>
      </c>
    </row>
    <row r="71" spans="1:24" ht="16.5" thickBot="1">
      <c r="A71" s="81"/>
      <c s="81"/>
      <c s="81"/>
      <c s="82"/>
      <c s="82"/>
      <c s="82"/>
      <c s="82"/>
      <c s="82"/>
      <c s="82"/>
      <c s="83"/>
      <c s="83"/>
      <c s="82"/>
      <c s="82"/>
      <c s="82"/>
      <c s="82"/>
      <c s="82"/>
      <c s="82"/>
      <c s="82"/>
      <c s="82"/>
      <c s="82"/>
      <c s="82"/>
      <c s="82"/>
      <c s="82"/>
      <c s="82"/>
    </row>
    <row r="72" spans="1:2" ht="15.75">
      <c r="A72" s="51" t="s">
        <v>21</v>
      </c>
      <c s="51" t="s">
        <v>71</v>
      </c>
    </row>
    <row r="73" spans="1:11" ht="15.75">
      <c r="A73" s="51" t="s">
        <v>132</v>
      </c>
      <c s="104">
        <f>K73+K79+K83+K97+K102</f>
        <v>62.255287000000003</v>
      </c>
      <c s="51" t="s">
        <v>133</v>
      </c>
      <c s="53">
        <v>60</v>
      </c>
      <c r="F73" s="277" t="s">
        <v>100</v>
      </c>
      <c s="277"/>
      <c s="277" t="s">
        <v>101</v>
      </c>
      <c s="277"/>
      <c r="K73" s="44">
        <f>K74+K75+K76</f>
        <v>3.1298620000000001</v>
      </c>
    </row>
    <row r="74" spans="1:11" ht="15.75">
      <c r="A74" s="53"/>
      <c s="53">
        <f>D73+D79+D83+D97+D102</f>
        <v>500</v>
      </c>
      <c r="E74" s="61" t="s">
        <v>45</v>
      </c>
      <c s="62">
        <v>56.299999999999997</v>
      </c>
      <c s="63"/>
      <c s="275">
        <v>45</v>
      </c>
      <c s="275"/>
      <c s="3">
        <v>30</v>
      </c>
      <c s="3">
        <f>F74*J74/1000</f>
        <v>1.6890000000000001</v>
      </c>
    </row>
    <row r="75" spans="1:11" ht="15.75">
      <c r="A75" s="53"/>
      <c s="87"/>
      <c r="E75" s="61" t="s">
        <v>134</v>
      </c>
      <c s="65">
        <v>21.5</v>
      </c>
      <c s="66"/>
      <c s="275">
        <v>15</v>
      </c>
      <c s="275"/>
      <c s="3">
        <v>65</v>
      </c>
      <c s="3">
        <f>F75*J75/1000</f>
        <v>1.3975</v>
      </c>
    </row>
    <row r="76" spans="1:11" ht="15.75">
      <c r="A76" s="53"/>
      <c s="53"/>
      <c r="E76" s="61" t="s">
        <v>107</v>
      </c>
      <c s="67">
        <v>0.59999999999999998</v>
      </c>
      <c s="68"/>
      <c s="275">
        <v>0.59999999999999998</v>
      </c>
      <c s="275"/>
      <c s="3">
        <v>72.269999999999996</v>
      </c>
      <c s="3">
        <f>F76*J76/1000</f>
        <v>0.043361999999999998</v>
      </c>
    </row>
    <row r="77" spans="1:9" ht="15.75">
      <c r="A77" s="53"/>
      <c s="53"/>
      <c r="E77" s="70" t="s">
        <v>108</v>
      </c>
      <c s="280" t="s">
        <v>109</v>
      </c>
      <c s="280"/>
      <c s="276">
        <v>60</v>
      </c>
      <c s="276"/>
    </row>
    <row r="79" spans="1:11" ht="15.75">
      <c r="A79" s="53"/>
      <c s="53"/>
      <c s="51" t="s">
        <v>135</v>
      </c>
      <c s="53">
        <v>30</v>
      </c>
      <c r="F79" s="277" t="s">
        <v>100</v>
      </c>
      <c s="277"/>
      <c s="277" t="s">
        <v>101</v>
      </c>
      <c s="277"/>
      <c r="K79" s="44">
        <f>K80</f>
        <v>4.4100000000000001</v>
      </c>
    </row>
    <row r="80" spans="1:11" ht="15.75">
      <c r="A80" s="53"/>
      <c s="53"/>
      <c r="E80" s="61" t="s">
        <v>136</v>
      </c>
      <c s="105">
        <v>30</v>
      </c>
      <c s="106"/>
      <c s="275">
        <v>30</v>
      </c>
      <c s="275"/>
      <c s="3">
        <v>147</v>
      </c>
      <c s="3">
        <f>F80*J80/1000</f>
        <v>4.4100000000000001</v>
      </c>
    </row>
    <row r="81" spans="1:9" ht="15.75">
      <c r="A81" s="53"/>
      <c s="53"/>
      <c r="F81" s="280" t="s">
        <v>109</v>
      </c>
      <c s="280"/>
      <c s="276">
        <v>20</v>
      </c>
      <c s="276"/>
    </row>
    <row r="83" spans="1:11" ht="15.75">
      <c r="A83" s="53"/>
      <c s="53"/>
      <c s="107" t="s">
        <v>137</v>
      </c>
      <c s="53">
        <v>170</v>
      </c>
      <c r="F83" s="108" t="s">
        <v>100</v>
      </c>
      <c s="108" t="s">
        <v>101</v>
      </c>
      <c s="277"/>
      <c s="277"/>
      <c r="K83" s="44">
        <f>K84+K85+K86+K87+K88+K89+K90+K91+K92+K93+K94</f>
        <v>51.075775000000007</v>
      </c>
    </row>
    <row r="84" spans="1:11" ht="15.75">
      <c r="A84" s="53"/>
      <c s="53"/>
      <c r="E84" s="109" t="s">
        <v>138</v>
      </c>
      <c s="110">
        <v>158.09999999999999</v>
      </c>
      <c s="110">
        <v>158.09999999999999</v>
      </c>
      <c s="313"/>
      <c s="275"/>
      <c s="3">
        <v>260</v>
      </c>
      <c s="3">
        <f t="shared" si="3" ref="K84:K94">J84*F84/1000</f>
        <v>41.106000000000002</v>
      </c>
    </row>
    <row r="85" spans="1:11" ht="15.75">
      <c r="A85" s="53"/>
      <c s="53"/>
      <c r="E85" s="109" t="s">
        <v>118</v>
      </c>
      <c s="110">
        <v>5.9000000000000004</v>
      </c>
      <c s="110">
        <v>5.9000000000000004</v>
      </c>
      <c s="313"/>
      <c s="275"/>
      <c s="3">
        <v>200</v>
      </c>
      <c s="3">
        <f t="shared" si="3"/>
        <v>1.1799999999999999</v>
      </c>
    </row>
    <row r="86" spans="1:11" ht="15.75">
      <c r="A86" s="53"/>
      <c s="53"/>
      <c r="E86" s="109" t="s">
        <v>139</v>
      </c>
      <c s="110">
        <v>4.9800000000000004</v>
      </c>
      <c s="110">
        <v>4.54</v>
      </c>
      <c s="313"/>
      <c s="275"/>
      <c s="111">
        <v>140</v>
      </c>
      <c s="3">
        <f t="shared" si="3"/>
        <v>0.69720000000000004</v>
      </c>
    </row>
    <row r="87" spans="1:11" ht="15.75">
      <c r="A87" s="53"/>
      <c s="53"/>
      <c r="E87" s="109" t="s">
        <v>37</v>
      </c>
      <c s="110">
        <v>11</v>
      </c>
      <c s="110">
        <v>11</v>
      </c>
      <c s="314"/>
      <c s="315"/>
      <c s="111">
        <v>40</v>
      </c>
      <c s="3">
        <f t="shared" si="3"/>
        <v>0.44</v>
      </c>
    </row>
    <row r="88" spans="1:11" ht="15.75">
      <c r="A88" s="53"/>
      <c s="53"/>
      <c r="E88" s="109" t="s">
        <v>125</v>
      </c>
      <c s="110">
        <v>11</v>
      </c>
      <c s="110">
        <v>11</v>
      </c>
      <c s="313"/>
      <c s="275"/>
      <c s="3">
        <v>72.269999999999996</v>
      </c>
      <c s="3">
        <f t="shared" si="3"/>
        <v>0.79496999999999995</v>
      </c>
    </row>
    <row r="89" spans="1:11" ht="15.75">
      <c r="A89" s="53"/>
      <c s="53"/>
      <c r="E89" s="109" t="s">
        <v>4</v>
      </c>
      <c s="110">
        <v>5.9000000000000004</v>
      </c>
      <c s="110">
        <v>5.9000000000000004</v>
      </c>
      <c s="313"/>
      <c s="275"/>
      <c s="3">
        <v>174</v>
      </c>
      <c s="3">
        <f t="shared" si="3"/>
        <v>1.0266000000000002</v>
      </c>
    </row>
    <row r="90" spans="5:11" ht="15.75">
      <c r="E90" s="109" t="s">
        <v>105</v>
      </c>
      <c s="110">
        <v>5.9000000000000004</v>
      </c>
      <c s="110">
        <v>5.9000000000000004</v>
      </c>
      <c s="313"/>
      <c s="275"/>
      <c s="3">
        <v>497.14999999999998</v>
      </c>
      <c s="3">
        <f t="shared" si="3"/>
        <v>2.9331849999999999</v>
      </c>
    </row>
    <row r="91" spans="5:11" ht="15.75">
      <c r="E91" s="109" t="s">
        <v>124</v>
      </c>
      <c s="110">
        <v>0.46000000000000002</v>
      </c>
      <c s="110">
        <v>0.46000000000000002</v>
      </c>
      <c s="313"/>
      <c s="275"/>
      <c s="3">
        <v>17</v>
      </c>
      <c s="3">
        <f t="shared" si="3"/>
        <v>0.0078200000000000006</v>
      </c>
    </row>
    <row r="92" spans="5:11" ht="15.75">
      <c r="E92" s="109" t="s">
        <v>104</v>
      </c>
      <c s="110">
        <v>40.799999999999997</v>
      </c>
      <c s="110">
        <v>40.799999999999997</v>
      </c>
      <c s="313"/>
      <c s="275"/>
      <c s="3">
        <v>0</v>
      </c>
      <c s="3">
        <f t="shared" si="3"/>
        <v>0</v>
      </c>
    </row>
    <row r="93" spans="5:11" ht="15.75">
      <c r="E93" s="109" t="s">
        <v>140</v>
      </c>
      <c s="110">
        <v>0.050000000000000003</v>
      </c>
      <c s="110">
        <v>0.050000000000000003</v>
      </c>
      <c s="313"/>
      <c s="275"/>
      <c s="112"/>
      <c s="3">
        <f t="shared" si="3"/>
        <v>0</v>
      </c>
    </row>
    <row r="94" spans="5:11" ht="15.75">
      <c r="E94" s="97" t="s">
        <v>127</v>
      </c>
      <c s="285">
        <v>170</v>
      </c>
      <c s="285"/>
      <c s="313"/>
      <c s="275"/>
      <c s="3">
        <v>17</v>
      </c>
      <c s="3">
        <f t="shared" si="3"/>
        <v>2.8900000000000001</v>
      </c>
    </row>
    <row r="95" spans="5:9" ht="15.75">
      <c r="E95" s="113"/>
      <c s="312"/>
      <c s="312"/>
      <c s="276"/>
      <c s="276"/>
    </row>
    <row r="97" spans="3:11" ht="15.75">
      <c r="C97" s="51" t="s">
        <v>141</v>
      </c>
      <c s="53">
        <v>200</v>
      </c>
      <c r="F97" s="277" t="s">
        <v>100</v>
      </c>
      <c s="277"/>
      <c s="277" t="s">
        <v>101</v>
      </c>
      <c s="277"/>
      <c r="K97" s="44">
        <f>K98+K99</f>
        <v>1.4740500000000001</v>
      </c>
    </row>
    <row r="98" spans="5:11" ht="15.75">
      <c r="E98" s="61" t="s">
        <v>8</v>
      </c>
      <c s="62">
        <v>0.59999999999999998</v>
      </c>
      <c s="63"/>
      <c s="275">
        <v>0.59999999999999998</v>
      </c>
      <c s="275"/>
      <c s="3">
        <v>650</v>
      </c>
      <c s="3">
        <f>F98*J98/1000</f>
        <v>0.39000000000000001</v>
      </c>
    </row>
    <row r="99" spans="5:11" ht="15.75">
      <c r="E99" s="64" t="s">
        <v>107</v>
      </c>
      <c s="67">
        <v>15</v>
      </c>
      <c s="68"/>
      <c s="272">
        <v>15</v>
      </c>
      <c s="274"/>
      <c s="3">
        <v>72.269999999999996</v>
      </c>
      <c s="3">
        <f>F99*J99/1000</f>
        <v>1.08405</v>
      </c>
    </row>
    <row r="100" spans="5:9" ht="15.75">
      <c r="E100" s="70" t="s">
        <v>108</v>
      </c>
      <c s="280" t="s">
        <v>109</v>
      </c>
      <c s="280"/>
      <c s="276">
        <v>200</v>
      </c>
      <c s="276"/>
    </row>
    <row r="102" spans="3:11" ht="15.75">
      <c r="C102" s="51" t="s">
        <v>142</v>
      </c>
      <c s="53">
        <v>40</v>
      </c>
      <c r="J102" s="3">
        <v>54.140000000000001</v>
      </c>
      <c s="44">
        <f>D102*J102/1000</f>
        <v>2.1656</v>
      </c>
    </row>
    <row r="103" spans="1:26" ht="16.5" thickBot="1">
      <c r="A103" s="81"/>
      <c s="81"/>
      <c s="81"/>
      <c s="82"/>
      <c s="82"/>
      <c s="82"/>
      <c s="82"/>
      <c s="82"/>
      <c s="82"/>
      <c s="83"/>
      <c s="83"/>
      <c s="82"/>
      <c s="82"/>
      <c s="82"/>
      <c s="82"/>
      <c s="82"/>
      <c s="82"/>
      <c s="82"/>
      <c s="82"/>
      <c s="82"/>
      <c s="82"/>
      <c s="82"/>
      <c s="82"/>
      <c s="82"/>
      <c s="82"/>
      <c s="82"/>
    </row>
    <row r="104" spans="1:11" ht="15.75">
      <c r="A104" s="51" t="s">
        <v>22</v>
      </c>
      <c s="51" t="s">
        <v>71</v>
      </c>
      <c s="51" t="s">
        <v>143</v>
      </c>
      <c s="53">
        <v>100</v>
      </c>
      <c r="J104" s="114">
        <v>200</v>
      </c>
      <c s="115">
        <f>D104*J104/1000</f>
        <v>20</v>
      </c>
    </row>
    <row r="105" spans="1:2" ht="15.75">
      <c r="A105" s="51" t="s">
        <v>144</v>
      </c>
      <c s="116">
        <f>K107+K104+K118+K124+K130</f>
        <v>70.610643999999994</v>
      </c>
    </row>
    <row r="106" spans="2:2" ht="15.75">
      <c r="B106" s="51">
        <f>D104+D107+D118+D124+D130</f>
        <v>490</v>
      </c>
    </row>
    <row r="107" spans="1:13" ht="15.75">
      <c r="A107" s="53"/>
      <c s="53"/>
      <c s="51" t="s">
        <v>329</v>
      </c>
      <c r="F107" s="277" t="s">
        <v>100</v>
      </c>
      <c s="277"/>
      <c s="277" t="s">
        <v>101</v>
      </c>
      <c s="277"/>
      <c r="K107" s="208">
        <f>SUM(K109:K115)</f>
        <v>41.181443999999999</v>
      </c>
      <c s="232"/>
      <c s="232"/>
    </row>
    <row r="108" spans="1:13" ht="15.75">
      <c r="A108" s="53"/>
      <c s="53"/>
      <c r="E108" s="211"/>
      <c s="275"/>
      <c s="275"/>
      <c s="209"/>
      <c s="210"/>
      <c r="K108" s="3">
        <f t="shared" si="4" ref="K108:K115">J108/1000*F108</f>
        <v>0</v>
      </c>
      <c s="243"/>
      <c s="243"/>
    </row>
    <row r="109" spans="1:13" ht="15.75">
      <c r="A109" s="53"/>
      <c s="53"/>
      <c r="E109" s="212" t="s">
        <v>330</v>
      </c>
      <c s="278">
        <v>127.8</v>
      </c>
      <c s="279"/>
      <c s="270">
        <v>91.799999999999997</v>
      </c>
      <c s="271"/>
      <c s="3">
        <v>298.98000000000002</v>
      </c>
      <c s="3">
        <f t="shared" si="4"/>
        <v>38.209644000000004</v>
      </c>
      <c s="243"/>
      <c s="243"/>
    </row>
    <row r="110" spans="1:13" ht="15.75">
      <c r="A110" s="53"/>
      <c s="53"/>
      <c r="E110" s="212" t="s">
        <v>5</v>
      </c>
      <c s="270">
        <v>10.800000000000001</v>
      </c>
      <c s="271"/>
      <c s="270">
        <v>10.800000000000001</v>
      </c>
      <c s="271"/>
      <c s="3">
        <v>152</v>
      </c>
      <c s="3">
        <f t="shared" si="4"/>
        <v>1.6416000000000002</v>
      </c>
      <c s="243"/>
      <c s="243"/>
    </row>
    <row r="111" spans="1:13" ht="15.75">
      <c r="A111" s="53"/>
      <c s="53"/>
      <c r="E111" s="212" t="s">
        <v>331</v>
      </c>
      <c s="270">
        <v>16.199999999999999</v>
      </c>
      <c s="271"/>
      <c s="270">
        <v>16.199999999999999</v>
      </c>
      <c s="271"/>
      <c s="3">
        <v>20</v>
      </c>
      <c s="3">
        <f t="shared" si="4"/>
        <v>0.32400000000000001</v>
      </c>
      <c s="243"/>
      <c s="243"/>
    </row>
    <row r="112" spans="1:13" ht="15.75">
      <c r="A112" s="53"/>
      <c s="53"/>
      <c r="E112" s="212" t="s">
        <v>332</v>
      </c>
      <c s="270">
        <v>5.4000000000000004</v>
      </c>
      <c s="271"/>
      <c s="270">
        <v>5.4000000000000004</v>
      </c>
      <c s="271"/>
      <c s="3">
        <v>37</v>
      </c>
      <c s="3">
        <f t="shared" si="4"/>
        <v>0.19980000000000001</v>
      </c>
      <c s="243"/>
      <c s="243"/>
    </row>
    <row r="113" spans="1:13" ht="15.75">
      <c r="A113" s="53"/>
      <c s="53"/>
      <c r="E113" s="212" t="s">
        <v>333</v>
      </c>
      <c s="270">
        <v>5.4000000000000004</v>
      </c>
      <c s="271"/>
      <c s="270">
        <v>5.4000000000000004</v>
      </c>
      <c s="271"/>
      <c s="3">
        <v>138</v>
      </c>
      <c s="3">
        <f t="shared" si="4"/>
        <v>0.74520000000000008</v>
      </c>
      <c s="243"/>
      <c s="243"/>
    </row>
    <row r="114" spans="1:13" ht="15.75">
      <c r="A114" s="53"/>
      <c s="53"/>
      <c r="E114" s="212" t="s">
        <v>334</v>
      </c>
      <c s="270">
        <v>3.6000000000000001</v>
      </c>
      <c s="271"/>
      <c s="270">
        <v>3.6000000000000001</v>
      </c>
      <c s="271"/>
      <c s="3">
        <v>17</v>
      </c>
      <c s="3">
        <f t="shared" si="4"/>
        <v>0.061200000000000004</v>
      </c>
      <c s="243"/>
      <c s="243"/>
    </row>
    <row r="115" spans="1:13" ht="15.75">
      <c r="A115" s="53"/>
      <c s="53"/>
      <c r="E115" s="213" t="s">
        <v>127</v>
      </c>
      <c s="272">
        <v>90</v>
      </c>
      <c s="273"/>
      <c s="273"/>
      <c s="274"/>
      <c r="K115" s="3">
        <f t="shared" si="4"/>
        <v>0</v>
      </c>
      <c s="243"/>
      <c s="243"/>
    </row>
    <row r="116" spans="1:9" ht="15.75">
      <c r="A116" s="53"/>
      <c s="53"/>
      <c r="E116" s="70"/>
      <c s="117"/>
      <c s="118"/>
      <c s="276"/>
      <c s="276"/>
    </row>
    <row r="118" spans="1:11" ht="15.75">
      <c r="A118" s="53"/>
      <c s="53"/>
      <c s="51" t="s">
        <v>148</v>
      </c>
      <c s="53">
        <v>150</v>
      </c>
      <c r="F118" s="277" t="s">
        <v>100</v>
      </c>
      <c s="277"/>
      <c s="277" t="s">
        <v>101</v>
      </c>
      <c s="277"/>
      <c r="K118" s="115">
        <f>SUM(K119:K121)</f>
        <v>4.8765499999999999</v>
      </c>
    </row>
    <row r="119" spans="1:11" ht="15.75">
      <c r="A119" s="53"/>
      <c s="53"/>
      <c r="E119" s="61" t="s">
        <v>13</v>
      </c>
      <c s="62">
        <v>52</v>
      </c>
      <c s="63"/>
      <c s="275">
        <v>52</v>
      </c>
      <c s="275"/>
      <c s="3">
        <v>65</v>
      </c>
      <c s="3">
        <f>F119*J119/1000</f>
        <v>3.3799999999999999</v>
      </c>
    </row>
    <row r="120" spans="1:11" ht="15.75">
      <c r="A120" s="53"/>
      <c s="53"/>
      <c r="E120" s="61" t="s">
        <v>106</v>
      </c>
      <c s="65">
        <v>0.29999999999999999</v>
      </c>
      <c s="66"/>
      <c s="275">
        <v>0.29999999999999999</v>
      </c>
      <c s="275"/>
      <c s="3">
        <v>17</v>
      </c>
      <c s="3">
        <f>F120*J120/1000</f>
        <v>0.0050999999999999995</v>
      </c>
    </row>
    <row r="121" spans="1:11" ht="15.75">
      <c r="A121" s="53"/>
      <c s="53"/>
      <c r="E121" s="61" t="s">
        <v>105</v>
      </c>
      <c s="67">
        <v>3</v>
      </c>
      <c s="68"/>
      <c s="275">
        <v>3</v>
      </c>
      <c s="275"/>
      <c s="3">
        <v>497.14999999999998</v>
      </c>
      <c s="3">
        <f>F121*J121/1000</f>
        <v>1.4914499999999997</v>
      </c>
    </row>
    <row r="122" spans="5:9" ht="15.75">
      <c r="E122" s="70" t="s">
        <v>108</v>
      </c>
      <c s="117" t="s">
        <v>109</v>
      </c>
      <c s="118"/>
      <c s="276">
        <v>150</v>
      </c>
      <c s="276"/>
    </row>
    <row r="124" spans="3:11" ht="15.75">
      <c r="C124" s="51" t="s">
        <v>149</v>
      </c>
      <c s="53">
        <v>200</v>
      </c>
      <c r="F124" s="277" t="s">
        <v>100</v>
      </c>
      <c s="277"/>
      <c s="277" t="s">
        <v>101</v>
      </c>
      <c s="277"/>
      <c r="K124" s="115">
        <f>SUM(K125:K127)</f>
        <v>2.5490500000000003</v>
      </c>
    </row>
    <row r="125" spans="5:11" ht="15.75">
      <c r="E125" s="61" t="s">
        <v>8</v>
      </c>
      <c s="62">
        <v>0.59999999999999998</v>
      </c>
      <c s="63"/>
      <c s="275">
        <v>0.59999999999999998</v>
      </c>
      <c s="275"/>
      <c s="3">
        <v>650</v>
      </c>
      <c s="3">
        <f>F125*J125/1000</f>
        <v>0.39000000000000001</v>
      </c>
    </row>
    <row r="126" spans="5:11" ht="15.75">
      <c r="E126" s="64" t="s">
        <v>107</v>
      </c>
      <c s="65">
        <v>15</v>
      </c>
      <c s="66"/>
      <c s="272">
        <v>15</v>
      </c>
      <c s="274"/>
      <c s="3">
        <v>72.269999999999996</v>
      </c>
      <c s="3">
        <f>F126*J126/1000</f>
        <v>1.08405</v>
      </c>
    </row>
    <row r="127" spans="5:11" ht="15.75">
      <c r="E127" s="64" t="s">
        <v>150</v>
      </c>
      <c s="67">
        <v>5</v>
      </c>
      <c s="68"/>
      <c s="272">
        <v>4</v>
      </c>
      <c s="274"/>
      <c s="3">
        <v>215</v>
      </c>
      <c s="3">
        <f>F127*J127/1000</f>
        <v>1.075</v>
      </c>
    </row>
    <row r="128" spans="5:9" ht="15.75">
      <c r="E128" s="70" t="s">
        <v>108</v>
      </c>
      <c s="280" t="s">
        <v>109</v>
      </c>
      <c s="280"/>
      <c s="280" t="s">
        <v>151</v>
      </c>
      <c s="280"/>
    </row>
    <row r="130" spans="3:11" ht="15.75">
      <c r="C130" s="51" t="s">
        <v>112</v>
      </c>
      <c s="53">
        <v>40</v>
      </c>
      <c r="J130" s="3">
        <v>50.090000000000003</v>
      </c>
      <c s="115">
        <f>J130*D130/1000</f>
        <v>2.0036</v>
      </c>
    </row>
    <row r="131" spans="1:26" ht="16.5" thickBot="1">
      <c r="A131" s="81"/>
      <c s="81"/>
      <c s="81"/>
      <c s="82"/>
      <c s="82"/>
      <c s="82"/>
      <c s="82"/>
      <c s="82"/>
      <c s="82"/>
      <c s="83"/>
      <c s="83"/>
      <c s="82"/>
      <c s="82"/>
      <c s="82"/>
      <c s="82"/>
      <c s="82"/>
      <c s="82"/>
      <c s="82"/>
      <c s="82"/>
      <c s="82"/>
      <c s="82"/>
      <c s="82"/>
      <c s="82"/>
      <c s="82"/>
      <c s="82"/>
      <c s="82"/>
    </row>
    <row r="132" spans="1:11" ht="15.75">
      <c r="A132" s="51" t="s">
        <v>23</v>
      </c>
      <c s="51" t="s">
        <v>71</v>
      </c>
      <c s="86"/>
      <c s="87"/>
      <c s="87"/>
      <c s="311"/>
      <c s="311"/>
      <c s="311"/>
      <c s="311"/>
      <c s="31"/>
      <c s="114"/>
    </row>
    <row r="133" spans="1:11" ht="15.75">
      <c r="A133" s="51" t="s">
        <v>152</v>
      </c>
      <c s="119">
        <f>K133+K138+K140+K149+K151+K153</f>
        <v>48.842750999999993</v>
      </c>
      <c s="123" t="s">
        <v>337</v>
      </c>
      <c s="124">
        <v>40</v>
      </c>
      <c s="124"/>
      <c s="124">
        <v>42</v>
      </c>
      <c s="124"/>
      <c s="124"/>
      <c s="124"/>
      <c s="111">
        <v>100</v>
      </c>
      <c s="240">
        <f>J133*F133/1000</f>
        <v>4.2000000000000002</v>
      </c>
    </row>
    <row r="134" spans="2:11" ht="15.75">
      <c r="B134" s="51">
        <f>D133+D138+D140+D151+D149+D153</f>
        <v>580</v>
      </c>
      <c s="86"/>
      <c s="87"/>
      <c s="120"/>
      <c s="308"/>
      <c s="308"/>
      <c s="309"/>
      <c s="309"/>
      <c s="31"/>
      <c s="31"/>
    </row>
    <row r="135" spans="6:9" ht="15.75" hidden="1">
      <c r="F135" s="310"/>
      <c s="310"/>
      <c s="310"/>
      <c s="310"/>
    </row>
    <row r="136" spans="5:11" ht="15.75" hidden="1">
      <c r="E136" s="121"/>
      <c s="307"/>
      <c s="307"/>
      <c r="K136" s="122">
        <f>F136*J136/1000</f>
        <v>0</v>
      </c>
    </row>
    <row r="137" spans="6:9" ht="15.75" hidden="1">
      <c r="F137" s="310"/>
      <c s="310"/>
      <c s="310"/>
      <c s="310"/>
    </row>
    <row r="138" spans="1:11" ht="15.75" hidden="1">
      <c r="A138" s="53"/>
      <c s="53"/>
      <c s="123"/>
      <c s="124"/>
      <c s="121"/>
      <c s="307"/>
      <c s="307"/>
      <c s="307"/>
      <c s="307"/>
      <c r="K138" s="122"/>
    </row>
    <row r="140" spans="1:11" ht="15.75">
      <c r="A140" s="53"/>
      <c s="53"/>
      <c s="51" t="s">
        <v>153</v>
      </c>
      <c s="53">
        <v>200</v>
      </c>
      <c r="F140" s="277" t="s">
        <v>100</v>
      </c>
      <c s="277"/>
      <c s="277" t="s">
        <v>101</v>
      </c>
      <c s="277"/>
      <c r="K140" s="122">
        <f>SUM(K141:K146)</f>
        <v>34.286700999999994</v>
      </c>
    </row>
    <row r="141" spans="1:11" ht="15.75">
      <c r="A141" s="53"/>
      <c s="53"/>
      <c r="E141" s="61" t="s">
        <v>154</v>
      </c>
      <c s="62">
        <v>137.94</v>
      </c>
      <c s="63"/>
      <c s="275">
        <f>F141</f>
        <v>137.94</v>
      </c>
      <c s="275"/>
      <c s="3">
        <v>140</v>
      </c>
      <c s="3">
        <f t="shared" si="5" ref="K141:K146">F141*J141/1000</f>
        <v>19.311599999999999</v>
      </c>
    </row>
    <row r="142" spans="1:11" ht="15.75">
      <c r="A142" s="53"/>
      <c s="53"/>
      <c r="E142" s="64" t="s">
        <v>103</v>
      </c>
      <c s="65">
        <v>51.719999999999999</v>
      </c>
      <c s="66"/>
      <c s="275">
        <f>F142</f>
        <v>51.719999999999999</v>
      </c>
      <c s="275"/>
      <c s="3">
        <v>57.5</v>
      </c>
      <c s="3">
        <f t="shared" si="5"/>
        <v>2.9739</v>
      </c>
    </row>
    <row r="143" spans="1:11" ht="15.75">
      <c r="A143" s="53"/>
      <c s="53"/>
      <c r="E143" s="64" t="s">
        <v>105</v>
      </c>
      <c s="65">
        <v>6.9000000000000004</v>
      </c>
      <c s="66"/>
      <c s="275">
        <f>F143</f>
        <v>6.9000000000000004</v>
      </c>
      <c s="275"/>
      <c s="3">
        <v>497.14999999999998</v>
      </c>
      <c s="3">
        <f t="shared" si="5"/>
        <v>3.4303349999999999</v>
      </c>
    </row>
    <row r="144" spans="1:11" ht="15.75">
      <c r="A144" s="53"/>
      <c s="53"/>
      <c r="E144" s="64" t="s">
        <v>116</v>
      </c>
      <c s="65">
        <v>51.719999999999999</v>
      </c>
      <c s="66"/>
      <c s="275">
        <f>F144</f>
        <v>51.719999999999999</v>
      </c>
      <c s="275"/>
      <c r="K144" s="3">
        <f t="shared" si="5"/>
        <v>0</v>
      </c>
    </row>
    <row r="145" spans="1:11" ht="15.75">
      <c r="A145" s="53"/>
      <c s="53"/>
      <c r="E145" s="64" t="s">
        <v>105</v>
      </c>
      <c s="125">
        <v>17.239999999999998</v>
      </c>
      <c s="126"/>
      <c s="275">
        <f>F145</f>
        <v>17.239999999999998</v>
      </c>
      <c s="275"/>
      <c s="3">
        <v>497.14999999999998</v>
      </c>
      <c s="3">
        <f t="shared" si="5"/>
        <v>8.5708659999999988</v>
      </c>
    </row>
    <row r="146" spans="1:11" ht="15.75">
      <c r="A146" s="53"/>
      <c s="53"/>
      <c r="E146" s="61"/>
      <c s="275"/>
      <c s="275"/>
      <c s="275"/>
      <c s="275"/>
      <c r="K146" s="3">
        <f t="shared" si="5"/>
        <v>0</v>
      </c>
    </row>
    <row r="147" spans="1:9" ht="15.75">
      <c r="A147" s="53"/>
      <c s="53"/>
      <c r="E147" s="70" t="s">
        <v>108</v>
      </c>
      <c s="280" t="s">
        <v>109</v>
      </c>
      <c s="280"/>
      <c s="276">
        <v>200</v>
      </c>
      <c s="276"/>
    </row>
    <row r="148" spans="1:9" ht="15.75">
      <c r="A148" s="53"/>
      <c s="53"/>
      <c r="F148" s="277" t="s">
        <v>100</v>
      </c>
      <c s="277"/>
      <c s="277" t="s">
        <v>101</v>
      </c>
      <c s="277"/>
    </row>
    <row r="149" spans="1:11" ht="15.75">
      <c r="A149" s="53"/>
      <c s="53"/>
      <c s="51" t="s">
        <v>155</v>
      </c>
      <c s="53">
        <v>100</v>
      </c>
      <c s="61" t="s">
        <v>50</v>
      </c>
      <c s="62">
        <v>100</v>
      </c>
      <c s="63"/>
      <c s="275">
        <v>100</v>
      </c>
      <c s="275"/>
      <c s="3">
        <v>65</v>
      </c>
      <c s="122">
        <f>F149*J149/1000</f>
        <v>6.5</v>
      </c>
    </row>
    <row r="151" spans="1:11" ht="15.75">
      <c r="A151" s="53"/>
      <c s="53"/>
      <c s="51" t="s">
        <v>142</v>
      </c>
      <c s="53">
        <v>40</v>
      </c>
      <c r="J151" s="3">
        <v>59.549999999999997</v>
      </c>
      <c s="122">
        <f>D151*J151/1000</f>
        <v>2.3820000000000001</v>
      </c>
    </row>
    <row r="153" spans="1:11" ht="15.75">
      <c r="A153" s="53"/>
      <c s="53"/>
      <c s="51" t="s">
        <v>141</v>
      </c>
      <c s="53">
        <v>200</v>
      </c>
      <c r="F153" s="277" t="s">
        <v>100</v>
      </c>
      <c s="277"/>
      <c s="277" t="s">
        <v>101</v>
      </c>
      <c s="277"/>
      <c r="K153" s="122">
        <f>K154+K155</f>
        <v>1.4740500000000001</v>
      </c>
    </row>
    <row r="154" spans="5:11" ht="15.75">
      <c r="E154" s="61" t="s">
        <v>8</v>
      </c>
      <c s="62">
        <v>0.59999999999999998</v>
      </c>
      <c s="63"/>
      <c s="275">
        <v>0.59999999999999998</v>
      </c>
      <c s="275"/>
      <c s="3">
        <v>650</v>
      </c>
      <c s="3">
        <f>J154*F154/1000</f>
        <v>0.39000000000000001</v>
      </c>
    </row>
    <row r="155" spans="5:11" ht="15.75">
      <c r="E155" s="64" t="s">
        <v>107</v>
      </c>
      <c s="67">
        <v>15</v>
      </c>
      <c s="68"/>
      <c s="272">
        <v>15</v>
      </c>
      <c s="274"/>
      <c s="3">
        <v>72.269999999999996</v>
      </c>
      <c s="3">
        <f>J155*F155/1000</f>
        <v>1.08405</v>
      </c>
    </row>
    <row r="156" spans="5:9" ht="15.75">
      <c r="E156" s="70" t="s">
        <v>108</v>
      </c>
      <c s="280" t="s">
        <v>109</v>
      </c>
      <c s="280"/>
      <c s="276">
        <v>200</v>
      </c>
      <c s="276"/>
    </row>
    <row r="159" spans="1:11" ht="15.75" hidden="1">
      <c r="A159" s="107" t="s">
        <v>24</v>
      </c>
      <c s="107" t="s">
        <v>71</v>
      </c>
      <c s="107"/>
      <c s="127"/>
      <c s="127"/>
      <c s="127"/>
      <c s="127"/>
      <c s="127"/>
      <c s="127"/>
      <c s="112"/>
      <c s="112"/>
    </row>
    <row r="160" spans="1:11" ht="15.75" hidden="1">
      <c r="A160" s="107" t="s">
        <v>156</v>
      </c>
      <c s="128">
        <f>K160+K162+K174+K181+K183</f>
        <v>67.155680000000004</v>
      </c>
      <c s="107" t="s">
        <v>157</v>
      </c>
      <c s="127"/>
      <c s="129" t="s">
        <v>158</v>
      </c>
      <c s="305">
        <v>102</v>
      </c>
      <c s="305"/>
      <c s="305">
        <v>100</v>
      </c>
      <c s="305"/>
      <c s="112">
        <v>105</v>
      </c>
      <c s="112">
        <f>F160*J160/1000</f>
        <v>10.710000000000001</v>
      </c>
    </row>
    <row r="161" spans="1:11" ht="15.75" hidden="1">
      <c r="A161" s="107"/>
      <c s="107"/>
      <c s="107"/>
      <c s="127"/>
      <c s="127"/>
      <c s="127"/>
      <c s="127"/>
      <c s="127"/>
      <c s="127"/>
      <c s="112"/>
      <c s="112"/>
    </row>
    <row r="162" spans="1:11" ht="15.75" hidden="1">
      <c r="A162" s="107"/>
      <c s="107"/>
      <c s="107" t="s">
        <v>159</v>
      </c>
      <c s="127">
        <v>90</v>
      </c>
      <c s="127"/>
      <c s="306" t="s">
        <v>100</v>
      </c>
      <c s="306"/>
      <c s="306" t="s">
        <v>101</v>
      </c>
      <c s="306"/>
      <c s="112"/>
      <c s="112">
        <f>SUM(K163:K171)</f>
        <v>38.222900000000003</v>
      </c>
    </row>
    <row r="163" spans="1:11" ht="15.75" hidden="1">
      <c r="A163" s="107"/>
      <c s="107"/>
      <c s="107"/>
      <c s="127"/>
      <c s="129" t="s">
        <v>145</v>
      </c>
      <c s="305">
        <f>50*H172/90</f>
        <v>50</v>
      </c>
      <c s="305"/>
      <c s="305">
        <f>42*H172/90</f>
        <v>42</v>
      </c>
      <c s="305"/>
      <c s="112">
        <v>548</v>
      </c>
      <c s="112">
        <f t="shared" si="6" ref="K163:K171">F163*J163/1000</f>
        <v>27.399999999999999</v>
      </c>
    </row>
    <row r="164" spans="1:11" ht="15.75" hidden="1">
      <c r="A164" s="107"/>
      <c s="107"/>
      <c s="107"/>
      <c s="127"/>
      <c s="130" t="s">
        <v>160</v>
      </c>
      <c s="303">
        <f>24*H172/90</f>
        <v>24</v>
      </c>
      <c s="304"/>
      <c s="303">
        <f>20*H172/90</f>
        <v>20</v>
      </c>
      <c s="304"/>
      <c s="112">
        <v>330</v>
      </c>
      <c s="112">
        <f t="shared" si="6"/>
        <v>7.9199999999999999</v>
      </c>
    </row>
    <row r="165" spans="1:11" ht="15.75" hidden="1">
      <c r="A165" s="107"/>
      <c s="107"/>
      <c s="107"/>
      <c s="127"/>
      <c s="130" t="s">
        <v>161</v>
      </c>
      <c s="303">
        <f>13.5*H172/90</f>
        <v>13.5</v>
      </c>
      <c s="304"/>
      <c s="303">
        <f t="shared" si="7" ref="H165:H171">F165</f>
        <v>13.5</v>
      </c>
      <c s="304"/>
      <c s="112">
        <v>45.539999999999999</v>
      </c>
      <c s="112">
        <f t="shared" si="6"/>
        <v>0.61478999999999995</v>
      </c>
    </row>
    <row r="166" spans="1:11" ht="15.75" hidden="1">
      <c r="A166" s="107"/>
      <c s="107"/>
      <c s="107"/>
      <c s="127"/>
      <c s="130" t="s">
        <v>146</v>
      </c>
      <c s="303">
        <f>4*H172/90</f>
        <v>4</v>
      </c>
      <c s="304"/>
      <c s="303">
        <f t="shared" si="7"/>
        <v>4</v>
      </c>
      <c s="304"/>
      <c s="112">
        <v>140</v>
      </c>
      <c s="112">
        <f t="shared" si="6"/>
        <v>0.56000000000000005</v>
      </c>
    </row>
    <row r="167" spans="1:11" ht="15.75" hidden="1">
      <c r="A167" s="107"/>
      <c s="107"/>
      <c s="107"/>
      <c s="127"/>
      <c s="130" t="s">
        <v>162</v>
      </c>
      <c s="303">
        <f>3.5*H172/90</f>
        <v>3.5</v>
      </c>
      <c s="304"/>
      <c s="303">
        <f t="shared" si="7"/>
        <v>3.5</v>
      </c>
      <c s="304"/>
      <c s="112">
        <v>20</v>
      </c>
      <c s="112">
        <f t="shared" si="6"/>
        <v>0.070000000000000007</v>
      </c>
    </row>
    <row r="168" spans="1:11" ht="15.75" hidden="1">
      <c r="A168" s="107"/>
      <c s="107"/>
      <c s="107"/>
      <c s="127"/>
      <c s="130" t="s">
        <v>103</v>
      </c>
      <c s="303">
        <f>13*H172/90</f>
        <v>13</v>
      </c>
      <c s="304"/>
      <c s="303">
        <f t="shared" si="7"/>
        <v>13</v>
      </c>
      <c s="304"/>
      <c s="112">
        <v>48.170000000000002</v>
      </c>
      <c s="112">
        <f t="shared" si="6"/>
        <v>0.62621000000000004</v>
      </c>
    </row>
    <row r="169" spans="1:11" ht="15.75" hidden="1">
      <c r="A169" s="107"/>
      <c s="107"/>
      <c s="107"/>
      <c s="127"/>
      <c s="129" t="s">
        <v>118</v>
      </c>
      <c s="305">
        <f>4*H172/90</f>
        <v>4</v>
      </c>
      <c s="305"/>
      <c s="303">
        <f t="shared" si="7"/>
        <v>4</v>
      </c>
      <c s="304"/>
      <c s="112">
        <v>150</v>
      </c>
      <c s="112">
        <f t="shared" si="6"/>
        <v>0.59999999999999998</v>
      </c>
    </row>
    <row r="170" spans="1:11" ht="15.75" hidden="1">
      <c r="A170" s="107"/>
      <c s="107"/>
      <c s="107"/>
      <c s="127"/>
      <c s="129" t="s">
        <v>106</v>
      </c>
      <c s="305">
        <f>0.7*H172/90</f>
        <v>0.69999999999999996</v>
      </c>
      <c s="305"/>
      <c s="303">
        <f t="shared" si="7"/>
        <v>0.69999999999999996</v>
      </c>
      <c s="304"/>
      <c s="112">
        <v>17</v>
      </c>
      <c s="112">
        <f t="shared" si="6"/>
        <v>0.011899999999999999</v>
      </c>
    </row>
    <row r="171" spans="1:11" ht="15.75" hidden="1">
      <c r="A171" s="107"/>
      <c s="107"/>
      <c s="107"/>
      <c s="127"/>
      <c s="130" t="s">
        <v>147</v>
      </c>
      <c s="303">
        <f>3*H172/90</f>
        <v>3</v>
      </c>
      <c s="304"/>
      <c s="303">
        <f t="shared" si="7"/>
        <v>3</v>
      </c>
      <c s="304"/>
      <c s="112">
        <v>140</v>
      </c>
      <c s="112">
        <f t="shared" si="6"/>
        <v>0.41999999999999998</v>
      </c>
    </row>
    <row r="172" spans="1:11" ht="15.75" hidden="1">
      <c r="A172" s="107"/>
      <c s="107"/>
      <c s="107"/>
      <c s="127"/>
      <c s="131" t="s">
        <v>108</v>
      </c>
      <c s="300" t="s">
        <v>109</v>
      </c>
      <c s="300"/>
      <c s="301">
        <v>90</v>
      </c>
      <c s="301"/>
      <c s="112"/>
      <c s="112"/>
    </row>
    <row r="173" spans="1:11" ht="15.75" hidden="1">
      <c r="A173" s="107"/>
      <c s="107"/>
      <c s="107"/>
      <c s="127"/>
      <c s="127"/>
      <c s="127"/>
      <c s="127"/>
      <c s="127"/>
      <c s="127"/>
      <c s="112"/>
      <c s="112"/>
    </row>
    <row r="174" spans="1:11" ht="15.75" hidden="1">
      <c r="A174" s="107"/>
      <c s="107"/>
      <c s="107" t="s">
        <v>163</v>
      </c>
      <c s="127">
        <v>150</v>
      </c>
      <c s="127"/>
      <c s="306" t="s">
        <v>100</v>
      </c>
      <c s="306"/>
      <c s="306" t="s">
        <v>101</v>
      </c>
      <c s="306"/>
      <c s="112"/>
      <c s="112">
        <f>SUM(K175:K178)</f>
        <v>7.4011799999999992</v>
      </c>
    </row>
    <row r="175" spans="1:11" ht="15.75" hidden="1">
      <c r="A175" s="107"/>
      <c s="107"/>
      <c s="107"/>
      <c s="127"/>
      <c s="129" t="s">
        <v>164</v>
      </c>
      <c s="305">
        <f>170*H179/150</f>
        <v>170</v>
      </c>
      <c s="305"/>
      <c s="305">
        <f>128*H179/150</f>
        <v>128</v>
      </c>
      <c s="305"/>
      <c s="112">
        <v>27</v>
      </c>
      <c s="112">
        <f>F175*J175/1000</f>
        <v>4.5899999999999999</v>
      </c>
    </row>
    <row r="176" spans="1:11" ht="15.75" hidden="1">
      <c r="A176" s="107"/>
      <c s="107"/>
      <c s="107"/>
      <c s="127"/>
      <c s="130" t="s">
        <v>103</v>
      </c>
      <c s="303">
        <f>24*H179/150</f>
        <v>24</v>
      </c>
      <c s="304"/>
      <c s="303">
        <f>24*H179/150</f>
        <v>24</v>
      </c>
      <c s="304"/>
      <c s="112">
        <v>48.170000000000002</v>
      </c>
      <c s="112">
        <f>F176*J176/1000</f>
        <v>1.15608</v>
      </c>
    </row>
    <row r="177" spans="1:11" ht="15.75" hidden="1">
      <c r="A177" s="107"/>
      <c s="107"/>
      <c s="107"/>
      <c s="127"/>
      <c s="130" t="s">
        <v>105</v>
      </c>
      <c s="303">
        <f>3*H179/150</f>
        <v>3</v>
      </c>
      <c s="304"/>
      <c s="303">
        <f>3*H179/150</f>
        <v>3</v>
      </c>
      <c s="304"/>
      <c s="112">
        <v>550</v>
      </c>
      <c s="112">
        <f>F177*J177/1000</f>
        <v>1.6499999999999999</v>
      </c>
    </row>
    <row r="178" spans="1:11" ht="15.75" hidden="1">
      <c r="A178" s="107"/>
      <c s="107"/>
      <c s="107"/>
      <c s="127"/>
      <c s="129" t="s">
        <v>106</v>
      </c>
      <c s="305">
        <f>0.3*H179/150</f>
        <v>0.29999999999999999</v>
      </c>
      <c s="305"/>
      <c s="305">
        <f>0.3*H179/150</f>
        <v>0.29999999999999999</v>
      </c>
      <c s="305"/>
      <c s="112">
        <v>17</v>
      </c>
      <c s="112">
        <f>F178*J178/1000</f>
        <v>0.0050999999999999995</v>
      </c>
    </row>
    <row r="179" spans="1:11" ht="15.75" hidden="1">
      <c r="A179" s="107"/>
      <c s="107"/>
      <c s="107"/>
      <c s="127"/>
      <c s="131" t="s">
        <v>108</v>
      </c>
      <c s="300" t="s">
        <v>109</v>
      </c>
      <c s="300"/>
      <c s="301">
        <v>150</v>
      </c>
      <c s="301"/>
      <c s="112"/>
      <c s="112"/>
    </row>
    <row r="180" spans="1:11" ht="15.75" hidden="1">
      <c r="A180" s="107"/>
      <c s="107"/>
      <c s="107"/>
      <c s="127"/>
      <c s="127"/>
      <c s="127"/>
      <c s="127"/>
      <c s="127"/>
      <c s="127"/>
      <c s="112"/>
      <c s="112"/>
    </row>
    <row r="181" spans="1:11" ht="15.75" hidden="1">
      <c r="A181" s="107"/>
      <c s="107"/>
      <c s="107" t="s">
        <v>165</v>
      </c>
      <c s="127">
        <v>200</v>
      </c>
      <c s="129" t="s">
        <v>166</v>
      </c>
      <c s="302">
        <v>200</v>
      </c>
      <c s="302"/>
      <c s="302">
        <v>200</v>
      </c>
      <c s="302"/>
      <c s="112">
        <v>45</v>
      </c>
      <c s="112">
        <f>F181*J181/1000</f>
        <v>9</v>
      </c>
    </row>
    <row r="182" spans="1:11" ht="15.75" hidden="1">
      <c r="A182" s="107"/>
      <c s="107"/>
      <c s="107"/>
      <c s="127"/>
      <c s="127"/>
      <c s="127"/>
      <c s="127"/>
      <c s="127"/>
      <c s="127"/>
      <c s="112"/>
      <c s="112"/>
    </row>
    <row r="183" spans="1:11" ht="15.75" hidden="1">
      <c r="A183" s="107"/>
      <c s="107"/>
      <c s="107" t="s">
        <v>112</v>
      </c>
      <c s="127">
        <v>40</v>
      </c>
      <c s="127"/>
      <c s="127"/>
      <c s="127"/>
      <c s="127"/>
      <c s="127"/>
      <c s="112">
        <v>45.539999999999999</v>
      </c>
      <c s="112">
        <f>D183*J183/1000</f>
        <v>1.8215999999999999</v>
      </c>
    </row>
    <row r="184" spans="1:26" ht="16.5" thickBot="1">
      <c r="A184" s="81"/>
      <c s="81"/>
      <c s="81"/>
      <c s="82"/>
      <c s="82"/>
      <c s="82"/>
      <c s="82"/>
      <c s="82"/>
      <c s="82"/>
      <c s="83"/>
      <c s="83"/>
      <c s="82"/>
      <c s="82"/>
      <c s="82"/>
      <c s="82"/>
      <c s="82"/>
      <c s="82"/>
      <c s="82"/>
      <c s="82"/>
      <c s="82"/>
      <c s="82"/>
      <c s="82"/>
      <c s="82"/>
      <c s="82"/>
      <c s="82"/>
      <c s="82"/>
    </row>
    <row r="185" spans="1:2" ht="15.75">
      <c r="A185" s="51">
        <v>6</v>
      </c>
      <c s="51" t="s">
        <v>71</v>
      </c>
    </row>
    <row r="186" spans="1:11" ht="15.75">
      <c r="A186" s="53" t="s">
        <v>95</v>
      </c>
      <c s="132">
        <f>K186+K188+K190+K198+K205</f>
        <v>53.598919999999993</v>
      </c>
      <c s="51" t="s">
        <v>167</v>
      </c>
      <c s="53">
        <v>100</v>
      </c>
      <c s="61" t="s">
        <v>168</v>
      </c>
      <c s="133">
        <v>100</v>
      </c>
      <c s="134"/>
      <c s="275">
        <v>100</v>
      </c>
      <c s="275"/>
      <c s="3">
        <v>140</v>
      </c>
      <c s="135">
        <f>F186*J186/1000</f>
        <v>14</v>
      </c>
    </row>
    <row r="187" spans="2:2" ht="15.75">
      <c r="B187" s="51">
        <f>D186+D188+D190+D198+D205</f>
        <v>560</v>
      </c>
    </row>
    <row r="188" spans="1:11" ht="15.75">
      <c r="A188" s="53"/>
      <c r="C188" s="51" t="s">
        <v>169</v>
      </c>
      <c s="53">
        <v>20</v>
      </c>
      <c s="61" t="s">
        <v>170</v>
      </c>
      <c s="133">
        <v>21</v>
      </c>
      <c s="134"/>
      <c s="275">
        <v>20</v>
      </c>
      <c s="275"/>
      <c s="3">
        <v>498</v>
      </c>
      <c s="135">
        <f>F188*J188/1000</f>
        <v>10.458</v>
      </c>
    </row>
    <row r="190" spans="1:11" ht="15.75">
      <c r="A190" s="53"/>
      <c r="C190" s="51" t="s">
        <v>171</v>
      </c>
      <c s="53">
        <v>200</v>
      </c>
      <c r="F190" s="136" t="s">
        <v>100</v>
      </c>
      <c s="137"/>
      <c s="277" t="s">
        <v>101</v>
      </c>
      <c s="277"/>
      <c r="K190" s="135">
        <f>SUM(K191:K195)</f>
        <v>19.177870000000002</v>
      </c>
    </row>
    <row r="191" spans="1:11" ht="15.75">
      <c r="A191" s="53"/>
      <c r="E191" s="61" t="s">
        <v>36</v>
      </c>
      <c s="62">
        <f>50*H196/200</f>
        <v>50</v>
      </c>
      <c s="63"/>
      <c s="275">
        <f>F191</f>
        <v>50</v>
      </c>
      <c s="275"/>
      <c s="3">
        <v>95</v>
      </c>
      <c s="3">
        <f>F191*J191/1000</f>
        <v>4.75</v>
      </c>
    </row>
    <row r="192" spans="1:11" ht="15.75">
      <c r="A192" s="53"/>
      <c r="E192" s="64" t="s">
        <v>103</v>
      </c>
      <c s="65">
        <f>200*H196/200</f>
        <v>200</v>
      </c>
      <c s="66"/>
      <c s="272">
        <f>F192</f>
        <v>200</v>
      </c>
      <c s="274"/>
      <c s="3">
        <v>57.5</v>
      </c>
      <c s="3">
        <f>F192*J192/1000</f>
        <v>11.5</v>
      </c>
    </row>
    <row r="193" spans="1:11" ht="15.75">
      <c r="A193" s="53"/>
      <c r="E193" s="64" t="s">
        <v>107</v>
      </c>
      <c s="65">
        <f>6*H196/200</f>
        <v>6</v>
      </c>
      <c s="66"/>
      <c s="272">
        <f>F193</f>
        <v>6</v>
      </c>
      <c s="274"/>
      <c s="3">
        <v>72.269999999999996</v>
      </c>
      <c s="3">
        <f>F193*J193/1000</f>
        <v>0.43362000000000001</v>
      </c>
    </row>
    <row r="194" spans="1:11" ht="15.75">
      <c r="A194" s="53"/>
      <c r="E194" s="64" t="s">
        <v>105</v>
      </c>
      <c s="65">
        <f>5*H196/200</f>
        <v>5</v>
      </c>
      <c s="66"/>
      <c s="272">
        <f>F194</f>
        <v>5</v>
      </c>
      <c s="274"/>
      <c s="3">
        <v>497.14999999999998</v>
      </c>
      <c s="3">
        <f>F194*J194/1000</f>
        <v>2.4857499999999999</v>
      </c>
    </row>
    <row r="195" spans="1:11" ht="15.75">
      <c r="A195" s="53"/>
      <c r="E195" s="61" t="s">
        <v>106</v>
      </c>
      <c s="67">
        <f>0.5*H196/200</f>
        <v>0.5</v>
      </c>
      <c s="68"/>
      <c s="275">
        <f>F195</f>
        <v>0.5</v>
      </c>
      <c s="275"/>
      <c s="3">
        <v>17</v>
      </c>
      <c s="3">
        <f>F195*J195/1000</f>
        <v>0.0085000000000000006</v>
      </c>
    </row>
    <row r="196" spans="1:10" ht="15.75">
      <c r="A196" s="53"/>
      <c r="E196" s="70" t="s">
        <v>108</v>
      </c>
      <c s="117" t="s">
        <v>109</v>
      </c>
      <c s="118"/>
      <c s="276">
        <v>200</v>
      </c>
      <c s="276"/>
      <c s="3" t="s">
        <v>172</v>
      </c>
    </row>
    <row r="198" spans="1:11" ht="15.75">
      <c r="A198" s="53"/>
      <c r="C198" s="51" t="s">
        <v>130</v>
      </c>
      <c s="53">
        <v>200</v>
      </c>
      <c r="F198" s="136" t="s">
        <v>100</v>
      </c>
      <c s="137"/>
      <c s="277" t="s">
        <v>101</v>
      </c>
      <c s="277"/>
      <c r="K198" s="135">
        <f>SUM(K199:K202)</f>
        <v>7.5810500000000003</v>
      </c>
    </row>
    <row r="199" spans="1:11" ht="15.75">
      <c r="A199" s="53"/>
      <c r="E199" s="61" t="s">
        <v>131</v>
      </c>
      <c s="62">
        <v>4</v>
      </c>
      <c s="63"/>
      <c s="275">
        <v>4</v>
      </c>
      <c s="275"/>
      <c s="3">
        <v>420</v>
      </c>
      <c s="3">
        <f>J199*F199/1000</f>
        <v>1.6799999999999999</v>
      </c>
    </row>
    <row r="200" spans="1:11" ht="15.75">
      <c r="A200" s="53"/>
      <c r="E200" s="64" t="s">
        <v>107</v>
      </c>
      <c s="65">
        <v>15</v>
      </c>
      <c s="66"/>
      <c s="272">
        <v>15</v>
      </c>
      <c s="274"/>
      <c s="3">
        <v>72.269999999999996</v>
      </c>
      <c s="3">
        <f>J200*F200/1000</f>
        <v>1.08405</v>
      </c>
    </row>
    <row r="201" spans="1:11" ht="15.75">
      <c r="A201" s="53"/>
      <c r="E201" s="64" t="s">
        <v>65</v>
      </c>
      <c s="65">
        <v>100</v>
      </c>
      <c s="66"/>
      <c s="272">
        <v>100</v>
      </c>
      <c s="274"/>
      <c s="3">
        <v>48.170000000000002</v>
      </c>
      <c s="3">
        <f>J201*F201/1000</f>
        <v>4.8170000000000002</v>
      </c>
    </row>
    <row r="202" spans="5:11" ht="15.75">
      <c r="E202" s="64" t="s">
        <v>104</v>
      </c>
      <c s="67">
        <v>81</v>
      </c>
      <c s="68"/>
      <c s="272">
        <v>81</v>
      </c>
      <c s="274"/>
      <c s="3">
        <v>0</v>
      </c>
      <c s="3">
        <f>J202*F202/1000</f>
        <v>0</v>
      </c>
    </row>
    <row r="203" spans="5:9" ht="15.75">
      <c r="E203" s="70" t="s">
        <v>108</v>
      </c>
      <c s="117" t="s">
        <v>109</v>
      </c>
      <c s="118"/>
      <c s="276">
        <v>200</v>
      </c>
      <c s="276"/>
    </row>
    <row r="205" spans="3:11" ht="15.75">
      <c r="C205" s="51" t="s">
        <v>142</v>
      </c>
      <c s="53">
        <v>40</v>
      </c>
      <c r="J205" s="3">
        <v>59.549999999999997</v>
      </c>
      <c s="135">
        <f>D205*J205/1000</f>
        <v>2.3820000000000001</v>
      </c>
    </row>
    <row r="206" spans="1:26" ht="16.5" thickBot="1">
      <c r="A206" s="81"/>
      <c s="81"/>
      <c s="81"/>
      <c s="82"/>
      <c s="82"/>
      <c s="82"/>
      <c s="82"/>
      <c s="82"/>
      <c s="82"/>
      <c s="83"/>
      <c s="83"/>
      <c s="82"/>
      <c s="82"/>
      <c s="82"/>
      <c s="82"/>
      <c s="82"/>
      <c s="82"/>
      <c s="82"/>
      <c s="82"/>
      <c s="82"/>
      <c s="82"/>
      <c s="82"/>
      <c s="82"/>
      <c s="82"/>
      <c s="82"/>
      <c s="82"/>
    </row>
    <row r="207" spans="1:2" ht="15.75">
      <c r="A207" s="51">
        <v>7</v>
      </c>
      <c s="51" t="s">
        <v>71</v>
      </c>
    </row>
    <row r="208" spans="1:11" ht="15.75">
      <c r="A208" s="51" t="s">
        <v>113</v>
      </c>
      <c s="138">
        <f>K208+K216+K234+K242+K247</f>
        <v>49.973124500000004</v>
      </c>
      <c s="168" t="s">
        <v>173</v>
      </c>
      <c s="168">
        <v>40</v>
      </c>
      <c s="168"/>
      <c s="168"/>
      <c s="168"/>
      <c s="168"/>
      <c s="168"/>
      <c r="K208" s="84">
        <f>K209+K210+K211+K212</f>
        <v>2.0425400000000002</v>
      </c>
    </row>
    <row r="209" spans="2:11" ht="15.75">
      <c r="B209" s="51">
        <f>D208+D216+D234+D242+D247</f>
        <v>520</v>
      </c>
      <c s="167"/>
      <c s="168"/>
      <c s="169" t="s">
        <v>174</v>
      </c>
      <c s="244">
        <v>43</v>
      </c>
      <c s="245"/>
      <c s="168"/>
      <c s="168"/>
      <c s="3">
        <v>30</v>
      </c>
      <c s="3">
        <f>J209*F209/1000</f>
        <v>1.29</v>
      </c>
    </row>
    <row r="210" spans="2:11" ht="15.75">
      <c r="B210" s="52"/>
      <c s="167"/>
      <c s="168"/>
      <c s="169" t="s">
        <v>175</v>
      </c>
      <c s="244">
        <v>2</v>
      </c>
      <c s="245"/>
      <c s="168"/>
      <c s="168"/>
      <c s="3">
        <v>72.269999999999996</v>
      </c>
      <c s="3">
        <f>J210*F210/1000</f>
        <v>0.14454</v>
      </c>
    </row>
    <row r="211" spans="3:11" ht="15.75">
      <c r="C211" s="167"/>
      <c s="168"/>
      <c s="169" t="s">
        <v>176</v>
      </c>
      <c s="244">
        <v>4</v>
      </c>
      <c s="245"/>
      <c s="168"/>
      <c s="168"/>
      <c s="3">
        <v>152</v>
      </c>
      <c s="3">
        <f>J211*F211/1000</f>
        <v>0.60799999999999998</v>
      </c>
    </row>
    <row r="212" spans="3:11" ht="15.75">
      <c r="C212" s="167"/>
      <c s="168"/>
      <c s="169"/>
      <c s="283"/>
      <c s="284"/>
      <c s="168"/>
      <c s="168"/>
      <c r="K212" s="3">
        <f>J212*F212/1000</f>
        <v>0</v>
      </c>
    </row>
    <row r="213" spans="3:9" ht="15.75">
      <c r="C213" s="167"/>
      <c s="168"/>
      <c s="168"/>
      <c s="168"/>
      <c s="168"/>
      <c s="168"/>
      <c s="168"/>
    </row>
    <row r="214" spans="3:12" ht="15.75">
      <c r="C214" s="86"/>
      <c s="87"/>
      <c s="251"/>
      <c s="297"/>
      <c s="297"/>
      <c s="247"/>
      <c s="247"/>
      <c s="248"/>
      <c s="252"/>
      <c s="232"/>
    </row>
    <row r="216" spans="1:11" ht="15">
      <c r="A216" s="53"/>
      <c s="53"/>
      <c s="90" t="s">
        <v>177</v>
      </c>
      <c s="53">
        <v>90</v>
      </c>
      <c r="F216" s="288" t="s">
        <v>100</v>
      </c>
      <c s="277"/>
      <c s="288" t="s">
        <v>101</v>
      </c>
      <c s="277"/>
      <c r="K216" s="139">
        <f>SUM(K217:K227)</f>
        <v>40.078084500000003</v>
      </c>
    </row>
    <row r="217" spans="1:11" ht="15.75">
      <c r="A217" s="53"/>
      <c s="53"/>
      <c r="E217" s="91" t="s">
        <v>115</v>
      </c>
      <c s="140">
        <v>65.700000000000003</v>
      </c>
      <c s="141"/>
      <c s="298">
        <v>46.799999999999997</v>
      </c>
      <c s="299"/>
      <c s="3">
        <v>548</v>
      </c>
      <c s="3">
        <f>F217*J217/1000</f>
        <v>36.003599999999999</v>
      </c>
    </row>
    <row r="218" spans="1:11" ht="15.75">
      <c r="A218" s="53"/>
      <c s="53"/>
      <c r="E218" s="91" t="s">
        <v>117</v>
      </c>
      <c s="142">
        <v>9.4499999999999993</v>
      </c>
      <c s="143"/>
      <c s="293">
        <v>9.4499999999999993</v>
      </c>
      <c s="294"/>
      <c s="3">
        <v>50.090000000000003</v>
      </c>
      <c s="3">
        <f>F218*J218/1000</f>
        <v>0.47335050000000001</v>
      </c>
    </row>
    <row r="219" spans="1:11" ht="15.75">
      <c r="A219" s="53"/>
      <c s="53"/>
      <c r="E219" s="91" t="s">
        <v>104</v>
      </c>
      <c s="142">
        <v>16.379999999999999</v>
      </c>
      <c s="143"/>
      <c s="293">
        <v>16.379999999999999</v>
      </c>
      <c s="294"/>
      <c s="3">
        <v>0</v>
      </c>
      <c s="3">
        <f>F219*J219/1000</f>
        <v>0</v>
      </c>
    </row>
    <row r="220" spans="1:11" ht="15.75">
      <c r="A220" s="53"/>
      <c s="53"/>
      <c r="E220" s="91" t="s">
        <v>105</v>
      </c>
      <c s="142">
        <v>1.8</v>
      </c>
      <c s="143"/>
      <c s="293">
        <v>1.8</v>
      </c>
      <c s="294"/>
      <c s="3">
        <v>497.14999999999998</v>
      </c>
      <c s="3">
        <f>F220*J220/1000</f>
        <v>0.89487000000000005</v>
      </c>
    </row>
    <row r="221" spans="1:9" ht="15.75">
      <c r="A221" s="53"/>
      <c s="53"/>
      <c r="E221" s="91" t="s">
        <v>119</v>
      </c>
      <c s="144" t="s">
        <v>109</v>
      </c>
      <c s="145"/>
      <c s="295">
        <v>73.799999999999997</v>
      </c>
      <c s="296"/>
    </row>
    <row r="222" spans="1:9" ht="25.5">
      <c r="A222" s="53"/>
      <c s="53"/>
      <c r="E222" s="140" t="s">
        <v>178</v>
      </c>
      <c s="91" t="s">
        <v>109</v>
      </c>
      <c s="92"/>
      <c s="290">
        <v>27</v>
      </c>
      <c s="291"/>
    </row>
    <row r="223" spans="1:11" ht="15.75">
      <c r="A223" s="53"/>
      <c s="53"/>
      <c r="E223" s="91" t="s">
        <v>103</v>
      </c>
      <c s="91">
        <v>27</v>
      </c>
      <c s="92"/>
      <c s="290">
        <v>27</v>
      </c>
      <c s="291"/>
      <c s="3">
        <v>57.5</v>
      </c>
      <c s="3">
        <f>F223*J223/1000</f>
        <v>1.5525</v>
      </c>
    </row>
    <row r="224" spans="1:11" ht="15.75">
      <c r="A224" s="53"/>
      <c s="53"/>
      <c r="E224" s="91" t="s">
        <v>34</v>
      </c>
      <c s="91">
        <v>2.1600000000000001</v>
      </c>
      <c s="92"/>
      <c s="290">
        <v>2.1600000000000001</v>
      </c>
      <c s="291"/>
      <c s="3">
        <v>37</v>
      </c>
      <c s="3">
        <f>F224*J224/1000</f>
        <v>0.079920000000000005</v>
      </c>
    </row>
    <row r="225" spans="1:11" ht="15.75">
      <c r="A225" s="53"/>
      <c s="53"/>
      <c r="E225" s="91" t="s">
        <v>105</v>
      </c>
      <c s="91">
        <v>2.1600000000000001</v>
      </c>
      <c s="92"/>
      <c s="290">
        <v>2.1600000000000001</v>
      </c>
      <c s="291"/>
      <c s="3">
        <v>497.14999999999998</v>
      </c>
      <c s="3">
        <f>F225*J225/1000</f>
        <v>1.073844</v>
      </c>
    </row>
    <row r="226" spans="1:11" ht="15.75">
      <c r="A226" s="53"/>
      <c s="53"/>
      <c r="E226" s="97" t="s">
        <v>127</v>
      </c>
      <c s="292">
        <v>90</v>
      </c>
      <c s="292"/>
      <c s="292"/>
      <c s="292"/>
      <c r="K226" s="3">
        <f>F226*J226/1000</f>
        <v>0</v>
      </c>
    </row>
    <row r="227" spans="1:11" ht="15.75">
      <c r="A227" s="53"/>
      <c s="53"/>
      <c r="E227" s="61"/>
      <c s="146"/>
      <c s="146"/>
      <c s="147"/>
      <c s="148"/>
      <c r="K227" s="3">
        <f>F227*J227/1000</f>
        <v>0</v>
      </c>
    </row>
    <row r="228" spans="1:9" ht="15.75">
      <c r="A228" s="53"/>
      <c s="53"/>
      <c r="E228" s="70"/>
      <c s="146"/>
      <c s="146"/>
      <c s="117"/>
      <c s="118"/>
    </row>
    <row r="229" spans="1:9" ht="15.75">
      <c r="A229" s="53"/>
      <c s="53"/>
      <c r="E229" s="98"/>
      <c s="146"/>
      <c s="146"/>
      <c s="99"/>
      <c s="99"/>
    </row>
    <row r="230" spans="1:9" ht="15.75">
      <c r="A230" s="53"/>
      <c s="53"/>
      <c r="E230" s="98"/>
      <c s="146"/>
      <c s="146"/>
      <c s="99"/>
      <c s="99"/>
    </row>
    <row r="231" spans="1:9" ht="15.75">
      <c r="A231" s="53"/>
      <c s="53"/>
      <c r="E231" s="98"/>
      <c s="99"/>
      <c s="99"/>
      <c s="99"/>
      <c s="99"/>
    </row>
    <row r="232" spans="1:9" ht="15.75">
      <c r="A232" s="53"/>
      <c s="53"/>
      <c r="E232" s="98"/>
      <c s="99"/>
      <c s="99"/>
      <c s="99"/>
      <c s="99"/>
    </row>
    <row r="234" spans="1:11" ht="15.75">
      <c r="A234" s="53"/>
      <c s="53"/>
      <c s="51" t="s">
        <v>179</v>
      </c>
      <c s="53">
        <v>150</v>
      </c>
      <c r="F234" s="277" t="s">
        <v>100</v>
      </c>
      <c s="277"/>
      <c s="277" t="s">
        <v>101</v>
      </c>
      <c s="277"/>
      <c r="K234" s="139">
        <f>SUM(K235:K239)</f>
        <v>4.4648500000000002</v>
      </c>
    </row>
    <row r="235" spans="1:11" ht="15.75">
      <c r="A235" s="53"/>
      <c s="53"/>
      <c r="E235" s="61" t="s">
        <v>129</v>
      </c>
      <c s="62">
        <v>16</v>
      </c>
      <c s="63"/>
      <c s="275">
        <v>16</v>
      </c>
      <c s="275"/>
      <c s="3">
        <v>84</v>
      </c>
      <c s="3">
        <f>F235*J235/1000</f>
        <v>1.3440000000000001</v>
      </c>
    </row>
    <row r="236" spans="5:11" ht="15.75">
      <c r="E236" s="64" t="s">
        <v>104</v>
      </c>
      <c s="65">
        <v>120</v>
      </c>
      <c s="66"/>
      <c s="272">
        <v>120</v>
      </c>
      <c s="274"/>
      <c s="3">
        <v>0</v>
      </c>
      <c s="3">
        <f>F236*J236/1000</f>
        <v>0</v>
      </c>
    </row>
    <row r="237" spans="5:11" ht="15.75">
      <c r="E237" s="61" t="s">
        <v>180</v>
      </c>
      <c s="65">
        <v>18</v>
      </c>
      <c s="66"/>
      <c s="275">
        <v>18</v>
      </c>
      <c s="275"/>
      <c s="3">
        <v>35</v>
      </c>
      <c s="3">
        <f>F237*J237/1000</f>
        <v>0.63</v>
      </c>
    </row>
    <row r="238" spans="5:11" ht="15.75">
      <c r="E238" s="61" t="s">
        <v>106</v>
      </c>
      <c s="65">
        <v>0.29999999999999999</v>
      </c>
      <c s="66"/>
      <c s="275">
        <v>0.29999999999999999</v>
      </c>
      <c s="275"/>
      <c s="3">
        <v>17</v>
      </c>
      <c s="3">
        <f>F238*J238/1000</f>
        <v>0.0050999999999999995</v>
      </c>
    </row>
    <row r="239" spans="5:11" ht="15.75">
      <c r="E239" s="61" t="s">
        <v>105</v>
      </c>
      <c s="67">
        <v>5</v>
      </c>
      <c s="68"/>
      <c s="275">
        <v>5</v>
      </c>
      <c s="275"/>
      <c s="3">
        <v>497.14999999999998</v>
      </c>
      <c s="3">
        <f>F239*J239/1000</f>
        <v>2.4857499999999999</v>
      </c>
    </row>
    <row r="240" spans="5:9" ht="15.75">
      <c r="E240" s="70" t="s">
        <v>108</v>
      </c>
      <c s="117" t="s">
        <v>109</v>
      </c>
      <c s="118"/>
      <c s="276">
        <v>150</v>
      </c>
      <c s="276"/>
    </row>
    <row r="242" spans="3:11" ht="15.75">
      <c r="C242" s="51" t="s">
        <v>141</v>
      </c>
      <c s="53">
        <v>200</v>
      </c>
      <c r="F242" s="136" t="s">
        <v>100</v>
      </c>
      <c s="137"/>
      <c s="277" t="s">
        <v>101</v>
      </c>
      <c s="277"/>
      <c r="K242" s="139">
        <f>K243+K244</f>
        <v>1.38405</v>
      </c>
    </row>
    <row r="243" spans="5:11" ht="15.75">
      <c r="E243" s="61" t="s">
        <v>8</v>
      </c>
      <c s="62">
        <v>0.59999999999999998</v>
      </c>
      <c s="63"/>
      <c s="275">
        <v>0.59999999999999998</v>
      </c>
      <c s="275"/>
      <c s="3">
        <v>500</v>
      </c>
      <c s="3">
        <f>J243*F243/1000</f>
        <v>0.29999999999999999</v>
      </c>
    </row>
    <row r="244" spans="5:11" ht="15.75">
      <c r="E244" s="64" t="s">
        <v>107</v>
      </c>
      <c s="67">
        <v>15</v>
      </c>
      <c s="68"/>
      <c s="272">
        <v>15</v>
      </c>
      <c s="274"/>
      <c s="3">
        <v>72.269999999999996</v>
      </c>
      <c s="3">
        <f>J244*F244/1000</f>
        <v>1.08405</v>
      </c>
    </row>
    <row r="245" spans="5:9" ht="15.75">
      <c r="E245" s="70" t="s">
        <v>108</v>
      </c>
      <c s="117" t="s">
        <v>109</v>
      </c>
      <c s="118"/>
      <c s="276">
        <v>200</v>
      </c>
      <c s="276"/>
    </row>
    <row r="247" spans="3:11" ht="15.75">
      <c r="C247" s="51" t="s">
        <v>112</v>
      </c>
      <c s="53">
        <v>40</v>
      </c>
      <c r="J247" s="3">
        <v>50.090000000000003</v>
      </c>
      <c s="139">
        <f>D247*J247/1000</f>
        <v>2.0036</v>
      </c>
    </row>
    <row r="248" spans="1:26" ht="16.5" thickBot="1">
      <c r="A248" s="81"/>
      <c s="81"/>
      <c s="81"/>
      <c s="82"/>
      <c s="82"/>
      <c s="82"/>
      <c s="82"/>
      <c s="82"/>
      <c s="82"/>
      <c s="83"/>
      <c s="83"/>
      <c s="82"/>
      <c s="82"/>
      <c s="82"/>
      <c s="82"/>
      <c s="82"/>
      <c s="82"/>
      <c s="82"/>
      <c s="82"/>
      <c s="82"/>
      <c s="82"/>
      <c s="82"/>
      <c s="82"/>
      <c s="82"/>
      <c s="82"/>
      <c s="82"/>
    </row>
    <row r="249" spans="1:2" ht="15.75">
      <c r="A249" s="51">
        <v>8</v>
      </c>
      <c s="51" t="s">
        <v>71</v>
      </c>
    </row>
    <row r="250" spans="1:11" ht="15.75">
      <c r="A250" s="51" t="s">
        <v>132</v>
      </c>
      <c s="149">
        <f>K252+K256+K268+K274</f>
        <v>53.416423157894734</v>
      </c>
      <c r="J250" s="114"/>
      <c s="115"/>
    </row>
    <row r="251" spans="2:2" ht="15.75">
      <c r="B251" s="51">
        <f>D250+D252+D256+D268+D274</f>
        <v>440</v>
      </c>
    </row>
    <row r="252" spans="1:11" ht="15.75">
      <c r="A252" s="53"/>
      <c s="53"/>
      <c s="51" t="s">
        <v>136</v>
      </c>
      <c s="53">
        <v>30</v>
      </c>
      <c r="F252" s="150" t="s">
        <v>100</v>
      </c>
      <c s="150" t="s">
        <v>101</v>
      </c>
      <c r="K252" s="115">
        <f>K253</f>
        <v>7.7652631578947364</v>
      </c>
    </row>
    <row r="253" spans="1:11" ht="15.75">
      <c r="A253" s="53"/>
      <c s="53"/>
      <c r="E253" s="151" t="s">
        <v>136</v>
      </c>
      <c s="152">
        <v>30</v>
      </c>
      <c s="152">
        <f>F253</f>
        <v>30</v>
      </c>
      <c r="J253" s="31">
        <v>98.359999999999999</v>
      </c>
      <c s="3">
        <f>J253/380*F253</f>
        <v>7.7652631578947364</v>
      </c>
    </row>
    <row r="254" spans="1:7" ht="15.75">
      <c r="A254" s="53"/>
      <c s="53"/>
      <c r="E254" s="153" t="s">
        <v>108</v>
      </c>
      <c s="154" t="s">
        <v>109</v>
      </c>
      <c s="155">
        <v>30</v>
      </c>
    </row>
    <row r="256" spans="1:11" ht="15.75">
      <c r="A256" s="53"/>
      <c s="53"/>
      <c s="51" t="s">
        <v>181</v>
      </c>
      <c s="53">
        <v>170</v>
      </c>
      <c r="F256" s="277" t="s">
        <v>100</v>
      </c>
      <c s="277"/>
      <c s="277" t="s">
        <v>101</v>
      </c>
      <c s="277"/>
      <c r="K256" s="115">
        <f>SUM(K257:K265)</f>
        <v>41.795110000000001</v>
      </c>
    </row>
    <row r="257" spans="1:11" ht="15.75">
      <c r="A257" s="53"/>
      <c s="53"/>
      <c r="E257" s="61" t="s">
        <v>182</v>
      </c>
      <c s="156">
        <f>134*H266/170</f>
        <v>134</v>
      </c>
      <c s="157"/>
      <c s="289">
        <f t="shared" si="8" ref="H257:H265">F257</f>
        <v>134</v>
      </c>
      <c s="289"/>
      <c s="3">
        <v>260</v>
      </c>
      <c s="3">
        <f t="shared" si="9" ref="K257:K265">J257*F257/1000</f>
        <v>34.840000000000003</v>
      </c>
    </row>
    <row r="258" spans="1:11" ht="15.75">
      <c r="A258" s="53"/>
      <c s="53"/>
      <c r="E258" s="64" t="s">
        <v>129</v>
      </c>
      <c s="158">
        <f>18*H266/170</f>
        <v>18</v>
      </c>
      <c s="159"/>
      <c s="289">
        <f t="shared" si="8"/>
        <v>18</v>
      </c>
      <c s="289"/>
      <c s="3">
        <v>84</v>
      </c>
      <c s="3">
        <f t="shared" si="9"/>
        <v>1.512</v>
      </c>
    </row>
    <row r="259" spans="1:11" ht="15.75">
      <c r="A259" s="53"/>
      <c s="53"/>
      <c r="E259" s="64" t="s">
        <v>103</v>
      </c>
      <c s="158">
        <f>40*H266/170</f>
        <v>40</v>
      </c>
      <c s="159"/>
      <c s="289">
        <f t="shared" si="8"/>
        <v>40</v>
      </c>
      <c s="289"/>
      <c s="3">
        <v>57.5</v>
      </c>
      <c s="3">
        <f t="shared" si="9"/>
        <v>2.2999999999999998</v>
      </c>
    </row>
    <row r="260" spans="1:11" ht="15.75">
      <c r="A260" s="53"/>
      <c s="53"/>
      <c r="E260" s="64" t="s">
        <v>140</v>
      </c>
      <c s="158">
        <f>0.02*H266/170</f>
        <v>0.02</v>
      </c>
      <c s="159"/>
      <c s="289">
        <f t="shared" si="8"/>
        <v>0.02</v>
      </c>
      <c s="289"/>
      <c s="3">
        <v>1200</v>
      </c>
      <c s="3">
        <f t="shared" si="9"/>
        <v>0.024</v>
      </c>
    </row>
    <row r="261" spans="1:11" ht="15.75">
      <c r="A261" s="53"/>
      <c s="53"/>
      <c r="E261" s="64" t="s">
        <v>154</v>
      </c>
      <c s="158">
        <f>9*H266/170</f>
        <v>9</v>
      </c>
      <c s="159"/>
      <c s="289">
        <f t="shared" si="8"/>
        <v>9</v>
      </c>
      <c s="289"/>
      <c s="3">
        <v>140</v>
      </c>
      <c s="3">
        <f t="shared" si="9"/>
        <v>1.26</v>
      </c>
    </row>
    <row r="262" spans="1:11" ht="15.75">
      <c r="A262" s="53"/>
      <c s="53"/>
      <c r="E262" s="64" t="s">
        <v>107</v>
      </c>
      <c s="158">
        <f>3*H266/170</f>
        <v>3</v>
      </c>
      <c s="159"/>
      <c s="289">
        <f t="shared" si="8"/>
        <v>3</v>
      </c>
      <c s="289"/>
      <c s="3">
        <v>72.269999999999996</v>
      </c>
      <c s="3">
        <f t="shared" si="9"/>
        <v>0.21681</v>
      </c>
    </row>
    <row r="263" spans="1:11" ht="15.75">
      <c r="A263" s="53"/>
      <c s="53"/>
      <c r="E263" s="64" t="s">
        <v>118</v>
      </c>
      <c s="158">
        <f>1.5*H266/170</f>
        <v>1.5</v>
      </c>
      <c s="159"/>
      <c s="289">
        <f t="shared" si="8"/>
        <v>1.5</v>
      </c>
      <c s="289"/>
      <c s="3">
        <v>200</v>
      </c>
      <c s="3">
        <f t="shared" si="9"/>
        <v>0.29999999999999999</v>
      </c>
    </row>
    <row r="264" spans="1:11" ht="15.75">
      <c r="A264" s="53"/>
      <c s="53"/>
      <c r="E264" s="64" t="s">
        <v>4</v>
      </c>
      <c s="158">
        <f>2*H266/170</f>
        <v>2</v>
      </c>
      <c s="159"/>
      <c s="289">
        <f t="shared" si="8"/>
        <v>2</v>
      </c>
      <c s="289"/>
      <c s="3">
        <v>174</v>
      </c>
      <c s="3">
        <f t="shared" si="9"/>
        <v>0.34799999999999998</v>
      </c>
    </row>
    <row r="265" spans="1:11" ht="15.75">
      <c r="A265" s="53"/>
      <c s="53"/>
      <c r="E265" s="64" t="s">
        <v>105</v>
      </c>
      <c s="160">
        <f>2*H266/170</f>
        <v>2</v>
      </c>
      <c s="161"/>
      <c s="289">
        <f t="shared" si="8"/>
        <v>2</v>
      </c>
      <c s="289"/>
      <c s="3">
        <v>497.14999999999998</v>
      </c>
      <c s="3">
        <f t="shared" si="9"/>
        <v>0.99429999999999996</v>
      </c>
    </row>
    <row r="266" spans="1:9" ht="15.75">
      <c r="A266" s="53"/>
      <c s="53"/>
      <c r="E266" s="70" t="s">
        <v>108</v>
      </c>
      <c s="117" t="s">
        <v>109</v>
      </c>
      <c s="118"/>
      <c s="276">
        <v>170</v>
      </c>
      <c s="276"/>
    </row>
    <row r="268" spans="3:11" ht="15.75">
      <c r="C268" s="51" t="s">
        <v>141</v>
      </c>
      <c s="53">
        <v>200</v>
      </c>
      <c r="F268" s="136" t="s">
        <v>100</v>
      </c>
      <c s="137"/>
      <c s="277" t="s">
        <v>101</v>
      </c>
      <c s="277"/>
      <c r="K268" s="139">
        <f>K269+K270</f>
        <v>1.4740500000000001</v>
      </c>
    </row>
    <row r="269" spans="5:11" ht="15.75">
      <c r="E269" s="61" t="s">
        <v>8</v>
      </c>
      <c s="62">
        <v>0.59999999999999998</v>
      </c>
      <c s="63"/>
      <c s="275">
        <v>0.59999999999999998</v>
      </c>
      <c s="275"/>
      <c s="3">
        <v>650</v>
      </c>
      <c s="3">
        <f>J269*F269/1000</f>
        <v>0.39000000000000001</v>
      </c>
    </row>
    <row r="270" spans="5:11" ht="15.75">
      <c r="E270" s="64" t="s">
        <v>107</v>
      </c>
      <c s="67">
        <v>15</v>
      </c>
      <c s="68"/>
      <c s="272">
        <v>15</v>
      </c>
      <c s="274"/>
      <c s="3">
        <v>72.269999999999996</v>
      </c>
      <c s="3">
        <f>J270*F270/1000</f>
        <v>1.08405</v>
      </c>
    </row>
    <row r="271" spans="5:9" ht="15.75">
      <c r="E271" s="70" t="s">
        <v>108</v>
      </c>
      <c s="117" t="s">
        <v>109</v>
      </c>
      <c s="118"/>
      <c s="276">
        <v>200</v>
      </c>
      <c s="276"/>
    </row>
    <row r="272" spans="5:9" ht="15.75">
      <c r="E272" s="70"/>
      <c s="280"/>
      <c s="280"/>
      <c s="280"/>
      <c s="280"/>
    </row>
    <row r="274" spans="3:11" ht="15.75">
      <c r="C274" s="51" t="s">
        <v>142</v>
      </c>
      <c s="53">
        <v>40</v>
      </c>
      <c r="J274" s="3">
        <v>59.549999999999997</v>
      </c>
      <c s="115">
        <f>D274*J274/1000</f>
        <v>2.3820000000000001</v>
      </c>
    </row>
    <row r="275" spans="1:26" ht="16.5" thickBot="1">
      <c r="A275" s="81"/>
      <c s="81"/>
      <c s="81"/>
      <c s="82"/>
      <c s="82"/>
      <c s="82"/>
      <c s="82"/>
      <c s="82"/>
      <c s="82"/>
      <c s="83"/>
      <c s="83"/>
      <c s="82"/>
      <c s="82"/>
      <c s="82"/>
      <c s="82"/>
      <c s="82"/>
      <c s="82"/>
      <c s="82"/>
      <c s="82"/>
      <c s="82"/>
      <c s="82"/>
      <c s="82"/>
      <c s="82"/>
      <c s="82"/>
      <c s="82"/>
      <c s="82"/>
    </row>
    <row r="276" spans="1:11" ht="15.75">
      <c r="A276" s="51">
        <v>9</v>
      </c>
      <c s="51" t="s">
        <v>71</v>
      </c>
      <c s="51" t="s">
        <v>337</v>
      </c>
      <c s="53">
        <v>40</v>
      </c>
      <c r="F276" s="53">
        <v>42</v>
      </c>
      <c r="J276" s="3">
        <v>100</v>
      </c>
      <c s="164">
        <f>J276*F276/1000</f>
        <v>4.2000000000000002</v>
      </c>
    </row>
    <row r="277" spans="2:2" ht="15.75">
      <c r="B277" s="162">
        <f>+K276+K278+K303+K309+K311+K318</f>
        <v>68.61181400000001</v>
      </c>
    </row>
    <row r="278" spans="2:11" ht="15.75">
      <c r="B278" s="51">
        <f>D276+D278+D303+D309+D311+D318</f>
        <v>630</v>
      </c>
      <c s="53" t="s">
        <v>183</v>
      </c>
      <c s="53">
        <v>100</v>
      </c>
      <c r="F278" s="288" t="s">
        <v>100</v>
      </c>
      <c s="277"/>
      <c s="288" t="s">
        <v>101</v>
      </c>
      <c s="277"/>
      <c r="K278" s="164">
        <f>SUM(K279:K298)</f>
        <v>42.517613999999995</v>
      </c>
    </row>
    <row r="279" spans="2:11" ht="15.75">
      <c r="B279" s="163"/>
      <c r="E279" s="91" t="s">
        <v>115</v>
      </c>
      <c s="91">
        <v>69.400000000000006</v>
      </c>
      <c s="92"/>
      <c s="285">
        <v>50.700000000000003</v>
      </c>
      <c s="285"/>
      <c s="3">
        <v>548</v>
      </c>
      <c s="3">
        <f>F279*J279/1000</f>
        <v>38.031200000000005</v>
      </c>
    </row>
    <row r="280" spans="1:11" ht="15.75">
      <c r="A280" s="53"/>
      <c s="53"/>
      <c r="E280" s="91" t="s">
        <v>103</v>
      </c>
      <c s="91">
        <v>16</v>
      </c>
      <c s="92"/>
      <c s="285">
        <v>16</v>
      </c>
      <c s="285"/>
      <c s="3">
        <v>57.5</v>
      </c>
      <c s="3">
        <f>F280*J280/1000</f>
        <v>0.92000000000000004</v>
      </c>
    </row>
    <row r="281" spans="1:11" ht="15.75">
      <c r="A281" s="53"/>
      <c s="53"/>
      <c r="E281" s="91" t="s">
        <v>117</v>
      </c>
      <c s="91">
        <v>11</v>
      </c>
      <c s="92"/>
      <c s="285">
        <v>11</v>
      </c>
      <c s="285"/>
      <c s="3">
        <v>50.090000000000003</v>
      </c>
      <c s="3">
        <f>F281*J281/1000</f>
        <v>0.55098999999999998</v>
      </c>
    </row>
    <row r="282" spans="1:11" ht="15.75">
      <c r="A282" s="53"/>
      <c s="53"/>
      <c r="E282" s="91" t="s">
        <v>44</v>
      </c>
      <c s="91">
        <v>31</v>
      </c>
      <c s="92"/>
      <c s="285">
        <v>26</v>
      </c>
      <c s="285"/>
      <c s="3">
        <v>20</v>
      </c>
      <c s="3">
        <f>F282*J282/1000</f>
        <v>0.62</v>
      </c>
    </row>
    <row r="283" spans="1:11" ht="15.75">
      <c r="A283" s="53"/>
      <c s="53"/>
      <c r="E283" s="91" t="s">
        <v>5</v>
      </c>
      <c s="91">
        <v>4</v>
      </c>
      <c s="92"/>
      <c s="285">
        <v>4</v>
      </c>
      <c s="285"/>
      <c s="3">
        <v>152</v>
      </c>
      <c s="3">
        <f>F283*J283/1000</f>
        <v>0.60799999999999998</v>
      </c>
    </row>
    <row r="284" spans="1:9" ht="15.75">
      <c r="A284" s="53"/>
      <c s="53"/>
      <c r="E284" s="91" t="s">
        <v>184</v>
      </c>
      <c s="91" t="s">
        <v>109</v>
      </c>
      <c s="92"/>
      <c s="285">
        <v>13</v>
      </c>
      <c s="285"/>
    </row>
    <row r="285" spans="1:9" ht="15.75">
      <c r="A285" s="53"/>
      <c s="53"/>
      <c r="E285" s="91" t="s">
        <v>185</v>
      </c>
      <c s="91" t="s">
        <v>109</v>
      </c>
      <c s="92"/>
      <c s="285">
        <v>80</v>
      </c>
      <c s="285"/>
    </row>
    <row r="286" spans="1:11" ht="15.75">
      <c r="A286" s="53"/>
      <c s="53"/>
      <c r="E286" s="91" t="s">
        <v>34</v>
      </c>
      <c s="91">
        <v>5.2999999999999998</v>
      </c>
      <c s="92"/>
      <c s="285">
        <v>5.2999999999999998</v>
      </c>
      <c s="285"/>
      <c s="3">
        <v>37</v>
      </c>
      <c s="3">
        <f>F286*J286/1000</f>
        <v>0.1961</v>
      </c>
    </row>
    <row r="287" spans="1:11" ht="15.75">
      <c r="A287" s="53"/>
      <c s="53"/>
      <c r="E287" s="91" t="s">
        <v>124</v>
      </c>
      <c s="91">
        <v>0.34999999999999998</v>
      </c>
      <c s="92"/>
      <c s="285">
        <v>0.34999999999999998</v>
      </c>
      <c s="285"/>
      <c s="3">
        <v>17</v>
      </c>
      <c s="3">
        <f>F287*J287/1000</f>
        <v>0.0059499999999999996</v>
      </c>
    </row>
    <row r="288" spans="1:9" ht="15.75">
      <c r="A288" s="53"/>
      <c s="53"/>
      <c r="E288" s="91" t="s">
        <v>119</v>
      </c>
      <c s="91" t="s">
        <v>109</v>
      </c>
      <c s="92"/>
      <c s="285">
        <v>95</v>
      </c>
      <c s="285"/>
    </row>
    <row r="289" spans="1:11" ht="15.75">
      <c r="A289" s="53"/>
      <c s="53"/>
      <c r="E289" s="91" t="s">
        <v>5</v>
      </c>
      <c s="91">
        <v>4</v>
      </c>
      <c s="92"/>
      <c s="285">
        <v>4</v>
      </c>
      <c s="285"/>
      <c s="3">
        <v>152</v>
      </c>
      <c s="3">
        <f t="shared" si="10" ref="K289:K298">F289*J289/1000</f>
        <v>0.60799999999999998</v>
      </c>
    </row>
    <row r="290" spans="1:11" ht="15.75">
      <c r="A290" s="53"/>
      <c s="53"/>
      <c r="E290" s="91" t="s">
        <v>123</v>
      </c>
      <c s="91">
        <v>18</v>
      </c>
      <c s="92"/>
      <c s="285">
        <v>18</v>
      </c>
      <c s="285"/>
      <c r="K290" s="3">
        <f t="shared" si="10"/>
        <v>0</v>
      </c>
    </row>
    <row r="291" spans="1:11" ht="15.75">
      <c r="A291" s="53"/>
      <c s="53"/>
      <c r="E291" s="91" t="s">
        <v>105</v>
      </c>
      <c s="91">
        <v>0.90000000000000002</v>
      </c>
      <c s="92"/>
      <c s="285">
        <v>0.90000000000000002</v>
      </c>
      <c s="285"/>
      <c s="3">
        <v>497.14999999999998</v>
      </c>
      <c s="3">
        <f t="shared" si="10"/>
        <v>0.44743500000000003</v>
      </c>
    </row>
    <row r="292" spans="1:11" ht="15.75">
      <c r="A292" s="53"/>
      <c s="53"/>
      <c r="E292" s="91" t="s">
        <v>34</v>
      </c>
      <c s="91">
        <v>0.90000000000000002</v>
      </c>
      <c s="92"/>
      <c s="285">
        <v>0.90000000000000002</v>
      </c>
      <c s="285"/>
      <c s="3">
        <v>37</v>
      </c>
      <c s="3">
        <f t="shared" si="10"/>
        <v>0.033300000000000003</v>
      </c>
    </row>
    <row r="293" spans="1:11" ht="15.75">
      <c r="A293" s="53"/>
      <c s="53"/>
      <c r="E293" s="91" t="s">
        <v>45</v>
      </c>
      <c s="91">
        <v>1.5</v>
      </c>
      <c s="92"/>
      <c s="285">
        <v>1.2</v>
      </c>
      <c s="285"/>
      <c s="3">
        <v>30</v>
      </c>
      <c s="3">
        <f t="shared" si="10"/>
        <v>0.044999999999999998</v>
      </c>
    </row>
    <row r="294" spans="1:11" ht="15.75">
      <c r="A294" s="53"/>
      <c s="53"/>
      <c r="E294" s="91" t="s">
        <v>44</v>
      </c>
      <c s="91">
        <v>0.5</v>
      </c>
      <c s="92"/>
      <c s="285">
        <v>0.40000000000000002</v>
      </c>
      <c s="285"/>
      <c s="3">
        <v>20</v>
      </c>
      <c s="3">
        <f t="shared" si="10"/>
        <v>0.01</v>
      </c>
    </row>
    <row r="295" spans="1:11" ht="15.75">
      <c r="A295" s="53"/>
      <c s="53"/>
      <c r="E295" s="91" t="s">
        <v>126</v>
      </c>
      <c s="91">
        <v>2</v>
      </c>
      <c s="92"/>
      <c s="285">
        <v>2</v>
      </c>
      <c s="285"/>
      <c s="3">
        <v>138</v>
      </c>
      <c s="3">
        <f t="shared" si="10"/>
        <v>0.27600000000000002</v>
      </c>
    </row>
    <row r="296" spans="1:11" ht="15.75">
      <c r="A296" s="53"/>
      <c s="53"/>
      <c r="E296" s="91" t="s">
        <v>105</v>
      </c>
      <c s="91">
        <v>0.29999999999999999</v>
      </c>
      <c s="92"/>
      <c s="285">
        <v>0.29999999999999999</v>
      </c>
      <c s="285"/>
      <c s="3">
        <v>497.14999999999998</v>
      </c>
      <c s="3">
        <f t="shared" si="10"/>
        <v>0.14914499999999997</v>
      </c>
    </row>
    <row r="297" spans="1:11" ht="15.75">
      <c r="A297" s="53"/>
      <c s="53"/>
      <c r="E297" s="91" t="s">
        <v>125</v>
      </c>
      <c s="91">
        <v>0.20000000000000001</v>
      </c>
      <c s="92"/>
      <c s="285">
        <v>0.20000000000000001</v>
      </c>
      <c s="285"/>
      <c s="3">
        <v>72.269999999999996</v>
      </c>
      <c s="3">
        <f t="shared" si="10"/>
        <v>0.014454</v>
      </c>
    </row>
    <row r="298" spans="1:11" ht="15.75">
      <c r="A298" s="53"/>
      <c s="53"/>
      <c r="E298" s="91" t="s">
        <v>124</v>
      </c>
      <c s="91">
        <v>0.12</v>
      </c>
      <c s="92"/>
      <c s="285">
        <v>0.12</v>
      </c>
      <c s="285"/>
      <c s="3">
        <v>17</v>
      </c>
      <c s="3">
        <f t="shared" si="10"/>
        <v>0.0020400000000000001</v>
      </c>
    </row>
    <row r="299" spans="1:9" ht="15.75">
      <c r="A299" s="53"/>
      <c s="53"/>
      <c r="E299" s="91" t="s">
        <v>104</v>
      </c>
      <c s="91">
        <v>20</v>
      </c>
      <c s="92"/>
      <c s="285">
        <v>20</v>
      </c>
      <c s="285"/>
    </row>
    <row r="300" spans="1:9" ht="15.75">
      <c r="A300" s="53"/>
      <c s="53"/>
      <c r="E300" s="91" t="s">
        <v>186</v>
      </c>
      <c s="285" t="s">
        <v>109</v>
      </c>
      <c s="285"/>
      <c s="285">
        <v>20</v>
      </c>
      <c s="285"/>
    </row>
    <row r="301" spans="1:9" ht="15.75">
      <c r="A301" s="53"/>
      <c s="53"/>
      <c r="E301" s="97" t="s">
        <v>127</v>
      </c>
      <c s="286">
        <v>100</v>
      </c>
      <c s="287"/>
      <c s="287"/>
      <c s="287"/>
    </row>
    <row r="303" spans="1:11" ht="15.75">
      <c r="A303" s="53"/>
      <c s="53"/>
      <c s="51" t="s">
        <v>148</v>
      </c>
      <c s="53">
        <v>150</v>
      </c>
      <c r="F303" s="277" t="s">
        <v>100</v>
      </c>
      <c s="277"/>
      <c s="277" t="s">
        <v>101</v>
      </c>
      <c s="277"/>
      <c r="K303" s="164">
        <f>SUM(K304:K306)</f>
        <v>4.8765499999999999</v>
      </c>
    </row>
    <row r="304" spans="1:11" ht="15.75">
      <c r="A304" s="53"/>
      <c s="53"/>
      <c r="E304" s="61" t="s">
        <v>13</v>
      </c>
      <c s="62">
        <v>52</v>
      </c>
      <c s="63"/>
      <c s="275">
        <v>52</v>
      </c>
      <c s="275"/>
      <c s="3">
        <v>65</v>
      </c>
      <c s="3">
        <f>F304*J304/1000</f>
        <v>3.3799999999999999</v>
      </c>
    </row>
    <row r="305" spans="1:11" ht="15.75">
      <c r="A305" s="53"/>
      <c s="53"/>
      <c r="E305" s="61" t="s">
        <v>106</v>
      </c>
      <c s="65">
        <v>0.29999999999999999</v>
      </c>
      <c s="66"/>
      <c s="275">
        <v>0.29999999999999999</v>
      </c>
      <c s="275"/>
      <c s="3">
        <v>17</v>
      </c>
      <c s="3">
        <f>F305*J305/1000</f>
        <v>0.0050999999999999995</v>
      </c>
    </row>
    <row r="306" spans="1:11" ht="15.75">
      <c r="A306" s="53"/>
      <c s="53"/>
      <c r="E306" s="61" t="s">
        <v>105</v>
      </c>
      <c s="67">
        <v>3</v>
      </c>
      <c s="68"/>
      <c s="275">
        <v>3</v>
      </c>
      <c s="275"/>
      <c s="3">
        <v>497.14999999999998</v>
      </c>
      <c s="3">
        <f>F306*J306/1000</f>
        <v>1.4914499999999997</v>
      </c>
    </row>
    <row r="307" spans="1:9" ht="15.75">
      <c r="A307" s="53"/>
      <c s="53"/>
      <c r="E307" s="70" t="s">
        <v>108</v>
      </c>
      <c s="117" t="s">
        <v>109</v>
      </c>
      <c s="118"/>
      <c s="276">
        <v>150</v>
      </c>
      <c s="276"/>
    </row>
    <row r="309" spans="1:11" ht="15.75">
      <c r="A309" s="53"/>
      <c s="53"/>
      <c s="51" t="s">
        <v>94</v>
      </c>
      <c s="53">
        <v>100</v>
      </c>
      <c r="J309" s="3">
        <v>65</v>
      </c>
      <c s="165">
        <f>J309*D309/1000</f>
        <v>6.5</v>
      </c>
    </row>
    <row r="311" spans="1:11" ht="15.75">
      <c r="A311" s="53"/>
      <c s="53"/>
      <c s="51" t="s">
        <v>130</v>
      </c>
      <c s="53">
        <v>200</v>
      </c>
      <c r="F311" s="277" t="s">
        <v>100</v>
      </c>
      <c s="277"/>
      <c s="277" t="s">
        <v>101</v>
      </c>
      <c s="277"/>
      <c r="K311" s="164">
        <f>SUM(K312:K315)</f>
        <v>8.514050000000001</v>
      </c>
    </row>
    <row r="312" spans="1:11" ht="15.75">
      <c r="A312" s="53"/>
      <c s="53"/>
      <c r="E312" s="61" t="s">
        <v>131</v>
      </c>
      <c s="62">
        <v>4</v>
      </c>
      <c s="63"/>
      <c s="275">
        <v>4</v>
      </c>
      <c s="275"/>
      <c s="3">
        <v>420</v>
      </c>
      <c s="3">
        <f>J312*F312/1000</f>
        <v>1.6799999999999999</v>
      </c>
    </row>
    <row r="313" spans="1:11" ht="15.75">
      <c r="A313" s="53"/>
      <c s="53"/>
      <c r="E313" s="64" t="s">
        <v>107</v>
      </c>
      <c s="65">
        <v>15</v>
      </c>
      <c s="66"/>
      <c s="272">
        <v>15</v>
      </c>
      <c s="274"/>
      <c s="3">
        <v>72.269999999999996</v>
      </c>
      <c s="3">
        <f>J313*F313/1000</f>
        <v>1.08405</v>
      </c>
    </row>
    <row r="314" spans="1:11" ht="15.75">
      <c r="A314" s="53"/>
      <c s="53"/>
      <c r="E314" s="64" t="s">
        <v>65</v>
      </c>
      <c s="65">
        <v>100</v>
      </c>
      <c s="66"/>
      <c s="272">
        <v>100</v>
      </c>
      <c s="274"/>
      <c s="3">
        <v>57.5</v>
      </c>
      <c s="3">
        <f>J314*F314/1000</f>
        <v>5.75</v>
      </c>
    </row>
    <row r="315" spans="1:11" ht="15.75">
      <c r="A315" s="53"/>
      <c s="53"/>
      <c r="E315" s="64" t="s">
        <v>104</v>
      </c>
      <c s="67">
        <v>81</v>
      </c>
      <c s="68"/>
      <c s="272">
        <v>81</v>
      </c>
      <c s="274"/>
      <c s="3">
        <v>0</v>
      </c>
      <c s="3">
        <f>J315*F315/1000</f>
        <v>0</v>
      </c>
    </row>
    <row r="316" spans="1:9" ht="15.75">
      <c r="A316" s="53"/>
      <c s="53"/>
      <c r="E316" s="70" t="s">
        <v>108</v>
      </c>
      <c s="280" t="s">
        <v>109</v>
      </c>
      <c s="280"/>
      <c s="276">
        <v>200</v>
      </c>
      <c s="276"/>
    </row>
    <row r="318" spans="1:11" ht="15.75">
      <c r="A318" s="53"/>
      <c s="53"/>
      <c s="51" t="s">
        <v>112</v>
      </c>
      <c s="53">
        <v>40</v>
      </c>
      <c r="J318" s="3">
        <v>50.090000000000003</v>
      </c>
      <c s="164">
        <f>D318*J318/1000</f>
        <v>2.0036</v>
      </c>
    </row>
    <row r="319" spans="1:24" ht="16.5" thickBot="1">
      <c r="A319" s="81"/>
      <c s="81"/>
      <c s="81"/>
      <c s="82"/>
      <c s="82"/>
      <c s="82"/>
      <c s="82"/>
      <c s="82"/>
      <c s="82"/>
      <c s="83"/>
      <c s="83"/>
      <c s="82"/>
      <c s="82"/>
      <c s="82"/>
      <c s="82"/>
      <c s="82"/>
      <c s="82"/>
      <c s="82"/>
      <c s="82"/>
      <c s="82"/>
      <c s="82"/>
      <c s="82"/>
      <c s="82"/>
      <c s="82"/>
    </row>
    <row r="320" spans="1:11" ht="15.75">
      <c r="A320" s="166">
        <v>10</v>
      </c>
      <c s="51">
        <f>K327+K329+K338+K340+K345+K323</f>
        <v>52.800750999999991</v>
      </c>
      <c s="167"/>
      <c s="168"/>
      <c s="168"/>
      <c s="168"/>
      <c s="168"/>
      <c s="168"/>
      <c s="168"/>
      <c s="89"/>
      <c s="89"/>
    </row>
    <row r="321" spans="2:11" ht="15.75">
      <c r="B321" s="51">
        <f>D327+D329+D338+D340+D345+D323</f>
        <v>500</v>
      </c>
      <c r="E321" s="61"/>
      <c s="133"/>
      <c s="134"/>
      <c s="275"/>
      <c s="275"/>
      <c s="89"/>
      <c s="89"/>
    </row>
    <row r="322" spans="3:11" ht="15.75">
      <c r="C322" s="167"/>
      <c s="168"/>
      <c s="169"/>
      <c s="281"/>
      <c s="282"/>
      <c s="168"/>
      <c s="168"/>
      <c s="89"/>
      <c s="89"/>
    </row>
    <row r="323" spans="3:11" ht="15.75">
      <c r="C323" s="86" t="s">
        <v>337</v>
      </c>
      <c s="87">
        <v>40</v>
      </c>
      <c s="87"/>
      <c s="87">
        <v>42</v>
      </c>
      <c s="87"/>
      <c s="87"/>
      <c s="87"/>
      <c s="31">
        <v>100</v>
      </c>
      <c s="88">
        <f>J323*F323/1000</f>
        <v>4.2000000000000002</v>
      </c>
    </row>
    <row r="324" spans="3:11" ht="15.75">
      <c r="C324" s="167"/>
      <c s="168"/>
      <c s="169"/>
      <c s="283"/>
      <c s="284"/>
      <c s="168"/>
      <c s="168"/>
      <c s="89"/>
      <c s="89"/>
    </row>
    <row r="325" spans="3:11" ht="15.75">
      <c r="C325" s="167"/>
      <c s="168"/>
      <c s="168"/>
      <c s="170"/>
      <c s="170"/>
      <c s="170"/>
      <c s="170"/>
      <c s="89"/>
      <c s="89"/>
    </row>
    <row r="327" spans="3:11" ht="15.75">
      <c r="C327" s="51" t="s">
        <v>169</v>
      </c>
      <c s="53">
        <v>20</v>
      </c>
      <c s="61" t="s">
        <v>170</v>
      </c>
      <c s="133">
        <v>21</v>
      </c>
      <c s="134"/>
      <c s="275">
        <v>20</v>
      </c>
      <c s="275"/>
      <c s="3">
        <v>498</v>
      </c>
      <c s="135">
        <f>F327*J327/1000</f>
        <v>10.458</v>
      </c>
    </row>
    <row r="329" spans="3:11" ht="15.75">
      <c r="C329" s="51" t="s">
        <v>153</v>
      </c>
      <c s="53">
        <v>200</v>
      </c>
      <c r="F329" s="277" t="s">
        <v>100</v>
      </c>
      <c s="277"/>
      <c s="277" t="s">
        <v>101</v>
      </c>
      <c s="277"/>
      <c r="K329" s="122">
        <f>SUM(K330:K335)</f>
        <v>34.286700999999994</v>
      </c>
    </row>
    <row r="330" spans="5:11" ht="15.75">
      <c r="E330" s="61" t="s">
        <v>154</v>
      </c>
      <c s="62">
        <v>137.94</v>
      </c>
      <c s="63"/>
      <c s="275">
        <f t="shared" si="11" ref="H330:H334">F330</f>
        <v>137.94</v>
      </c>
      <c s="275"/>
      <c s="3">
        <v>140</v>
      </c>
      <c s="3">
        <f t="shared" si="12" ref="K330:K335">F330*J330/1000</f>
        <v>19.311599999999999</v>
      </c>
    </row>
    <row r="331" spans="5:11" ht="15.75">
      <c r="E331" s="64" t="s">
        <v>103</v>
      </c>
      <c s="65">
        <v>51.719999999999999</v>
      </c>
      <c s="66"/>
      <c s="275">
        <f t="shared" si="11"/>
        <v>51.719999999999999</v>
      </c>
      <c s="275"/>
      <c s="3">
        <v>57.5</v>
      </c>
      <c s="3">
        <f t="shared" si="12"/>
        <v>2.9739</v>
      </c>
    </row>
    <row r="332" spans="5:11" ht="15.75">
      <c r="E332" s="64" t="s">
        <v>105</v>
      </c>
      <c s="65">
        <v>6.9000000000000004</v>
      </c>
      <c s="66"/>
      <c s="275">
        <f t="shared" si="11"/>
        <v>6.9000000000000004</v>
      </c>
      <c s="275"/>
      <c s="3">
        <v>497.14999999999998</v>
      </c>
      <c s="3">
        <f t="shared" si="12"/>
        <v>3.4303349999999999</v>
      </c>
    </row>
    <row r="333" spans="5:11" ht="15.75">
      <c r="E333" s="64" t="s">
        <v>116</v>
      </c>
      <c s="65">
        <v>51.719999999999999</v>
      </c>
      <c s="66"/>
      <c s="275">
        <f t="shared" si="11"/>
        <v>51.719999999999999</v>
      </c>
      <c s="275"/>
      <c r="K333" s="3">
        <f t="shared" si="12"/>
        <v>0</v>
      </c>
    </row>
    <row r="334" spans="5:11" ht="15.75">
      <c r="E334" s="64" t="s">
        <v>105</v>
      </c>
      <c s="125">
        <v>17.239999999999998</v>
      </c>
      <c s="126"/>
      <c s="275">
        <f t="shared" si="11"/>
        <v>17.239999999999998</v>
      </c>
      <c s="275"/>
      <c s="3">
        <v>497.14999999999998</v>
      </c>
      <c s="3">
        <f t="shared" si="12"/>
        <v>8.5708659999999988</v>
      </c>
    </row>
    <row r="335" spans="5:11" ht="15.75">
      <c r="E335" s="61"/>
      <c s="275"/>
      <c s="275"/>
      <c s="275"/>
      <c s="275"/>
      <c r="K335" s="3">
        <f t="shared" si="12"/>
        <v>0</v>
      </c>
    </row>
    <row r="336" spans="5:9" ht="15.75">
      <c r="E336" s="70" t="s">
        <v>108</v>
      </c>
      <c s="280" t="s">
        <v>109</v>
      </c>
      <c s="280"/>
      <c s="276">
        <v>200</v>
      </c>
      <c s="276"/>
    </row>
    <row r="338" spans="1:11" ht="15.75">
      <c r="A338" s="53"/>
      <c s="53"/>
      <c r="E338" s="61"/>
      <c s="275"/>
      <c s="275"/>
      <c s="275"/>
      <c s="275"/>
      <c r="K338" s="135"/>
    </row>
    <row r="340" spans="1:11" ht="15.75">
      <c r="A340" s="53"/>
      <c s="53"/>
      <c s="51" t="s">
        <v>141</v>
      </c>
      <c s="53">
        <v>200</v>
      </c>
      <c r="F340" s="277" t="s">
        <v>100</v>
      </c>
      <c s="277"/>
      <c s="277" t="s">
        <v>101</v>
      </c>
      <c s="277"/>
      <c r="K340" s="122">
        <f>K341+K342</f>
        <v>1.4740500000000001</v>
      </c>
    </row>
    <row r="341" spans="1:11" ht="15.75">
      <c r="A341" s="53"/>
      <c s="53"/>
      <c r="E341" s="61" t="s">
        <v>8</v>
      </c>
      <c s="62">
        <v>0.59999999999999998</v>
      </c>
      <c s="63"/>
      <c s="275">
        <v>0.59999999999999998</v>
      </c>
      <c s="275"/>
      <c s="3">
        <v>650</v>
      </c>
      <c s="3">
        <f>J341*F341/1000</f>
        <v>0.39000000000000001</v>
      </c>
    </row>
    <row r="342" spans="1:11" ht="15.75">
      <c r="A342" s="53"/>
      <c s="53"/>
      <c r="E342" s="64" t="s">
        <v>107</v>
      </c>
      <c s="67">
        <v>15</v>
      </c>
      <c s="68"/>
      <c s="272">
        <v>15</v>
      </c>
      <c s="274"/>
      <c s="3">
        <v>72.269999999999996</v>
      </c>
      <c s="3">
        <f>J342*F342/1000</f>
        <v>1.08405</v>
      </c>
    </row>
    <row r="343" spans="1:9" ht="15.75">
      <c r="A343" s="53"/>
      <c s="53"/>
      <c r="E343" s="70" t="s">
        <v>108</v>
      </c>
      <c s="117" t="s">
        <v>109</v>
      </c>
      <c s="118"/>
      <c s="276">
        <v>200</v>
      </c>
      <c s="276"/>
    </row>
    <row r="345" spans="1:26" ht="16.5" thickBot="1">
      <c r="A345" s="82"/>
      <c s="82"/>
      <c s="81" t="s">
        <v>142</v>
      </c>
      <c s="82">
        <v>40</v>
      </c>
      <c s="82"/>
      <c s="82"/>
      <c s="82"/>
      <c s="82"/>
      <c s="82"/>
      <c s="83">
        <v>59.549999999999997</v>
      </c>
      <c s="171">
        <f>D345*J345/1000</f>
        <v>2.3820000000000001</v>
      </c>
      <c s="82"/>
      <c s="82"/>
      <c s="82"/>
      <c s="82"/>
      <c s="82"/>
      <c s="82"/>
      <c s="82"/>
      <c s="82"/>
      <c s="82"/>
      <c s="82"/>
      <c s="82"/>
      <c s="82"/>
      <c s="82"/>
      <c s="82"/>
      <c s="82"/>
    </row>
  </sheetData>
  <mergeCells count="268">
    <mergeCell ref="E17:E19"/>
    <mergeCell ref="F18:I18"/>
    <mergeCell ref="F19:G19"/>
    <mergeCell ref="H19:I19"/>
    <mergeCell ref="E5:E7"/>
    <mergeCell ref="H65:I65"/>
    <mergeCell ref="H66:I66"/>
    <mergeCell ref="F67:G67"/>
    <mergeCell ref="H67:I67"/>
    <mergeCell ref="F24:G24"/>
    <mergeCell ref="H24:I24"/>
    <mergeCell ref="H22:I22"/>
    <mergeCell ref="H23:I23"/>
    <mergeCell ref="H20:I20"/>
    <mergeCell ref="H21:I21"/>
    <mergeCell ref="F79:G79"/>
    <mergeCell ref="H79:I79"/>
    <mergeCell ref="H80:I80"/>
    <mergeCell ref="F81:G81"/>
    <mergeCell ref="H81:I81"/>
    <mergeCell ref="H83:I83"/>
    <mergeCell ref="F73:G73"/>
    <mergeCell ref="H73:I73"/>
    <mergeCell ref="H74:I74"/>
    <mergeCell ref="H75:I75"/>
    <mergeCell ref="H76:I76"/>
    <mergeCell ref="F77:G77"/>
    <mergeCell ref="H77:I77"/>
    <mergeCell ref="H90:I90"/>
    <mergeCell ref="H91:I91"/>
    <mergeCell ref="H92:I92"/>
    <mergeCell ref="H93:I93"/>
    <mergeCell ref="F94:G94"/>
    <mergeCell ref="H94:I94"/>
    <mergeCell ref="H84:I84"/>
    <mergeCell ref="H85:I85"/>
    <mergeCell ref="H86:I86"/>
    <mergeCell ref="H87:I87"/>
    <mergeCell ref="H88:I88"/>
    <mergeCell ref="H89:I89"/>
    <mergeCell ref="H116:I116"/>
    <mergeCell ref="F118:G118"/>
    <mergeCell ref="H118:I118"/>
    <mergeCell ref="H119:I119"/>
    <mergeCell ref="H120:I120"/>
    <mergeCell ref="H121:I121"/>
    <mergeCell ref="F100:G100"/>
    <mergeCell ref="H100:I100"/>
    <mergeCell ref="F95:G95"/>
    <mergeCell ref="H95:I95"/>
    <mergeCell ref="F97:G97"/>
    <mergeCell ref="H97:I97"/>
    <mergeCell ref="H98:I98"/>
    <mergeCell ref="H99:I99"/>
    <mergeCell ref="F128:G128"/>
    <mergeCell ref="H128:I128"/>
    <mergeCell ref="F132:G132"/>
    <mergeCell ref="H132:I132"/>
    <mergeCell ref="H122:I122"/>
    <mergeCell ref="F124:G124"/>
    <mergeCell ref="H124:I124"/>
    <mergeCell ref="H125:I125"/>
    <mergeCell ref="H126:I126"/>
    <mergeCell ref="H127:I127"/>
    <mergeCell ref="F138:G138"/>
    <mergeCell ref="H138:I138"/>
    <mergeCell ref="F140:G140"/>
    <mergeCell ref="H140:I140"/>
    <mergeCell ref="H141:I141"/>
    <mergeCell ref="H142:I142"/>
    <mergeCell ref="F134:G134"/>
    <mergeCell ref="H134:I134"/>
    <mergeCell ref="F135:G135"/>
    <mergeCell ref="H135:I135"/>
    <mergeCell ref="F136:G136"/>
    <mergeCell ref="F137:G137"/>
    <mergeCell ref="H137:I137"/>
    <mergeCell ref="F148:G148"/>
    <mergeCell ref="H148:I148"/>
    <mergeCell ref="H149:I149"/>
    <mergeCell ref="F153:G153"/>
    <mergeCell ref="H153:I153"/>
    <mergeCell ref="H154:I154"/>
    <mergeCell ref="H143:I143"/>
    <mergeCell ref="H144:I144"/>
    <mergeCell ref="H145:I145"/>
    <mergeCell ref="F146:G146"/>
    <mergeCell ref="H146:I146"/>
    <mergeCell ref="F147:G147"/>
    <mergeCell ref="H147:I147"/>
    <mergeCell ref="F163:G163"/>
    <mergeCell ref="H163:I163"/>
    <mergeCell ref="F164:G164"/>
    <mergeCell ref="H164:I164"/>
    <mergeCell ref="F165:G165"/>
    <mergeCell ref="H165:I165"/>
    <mergeCell ref="H155:I155"/>
    <mergeCell ref="F156:G156"/>
    <mergeCell ref="H156:I156"/>
    <mergeCell ref="F160:G160"/>
    <mergeCell ref="H160:I160"/>
    <mergeCell ref="F162:G162"/>
    <mergeCell ref="H162:I162"/>
    <mergeCell ref="F169:G169"/>
    <mergeCell ref="H169:I169"/>
    <mergeCell ref="F170:G170"/>
    <mergeCell ref="H170:I170"/>
    <mergeCell ref="F171:G171"/>
    <mergeCell ref="H171:I171"/>
    <mergeCell ref="F166:G166"/>
    <mergeCell ref="H166:I166"/>
    <mergeCell ref="F167:G167"/>
    <mergeCell ref="H167:I167"/>
    <mergeCell ref="F168:G168"/>
    <mergeCell ref="H168:I168"/>
    <mergeCell ref="F176:G176"/>
    <mergeCell ref="H176:I176"/>
    <mergeCell ref="F177:G177"/>
    <mergeCell ref="H177:I177"/>
    <mergeCell ref="F178:G178"/>
    <mergeCell ref="H178:I178"/>
    <mergeCell ref="F172:G172"/>
    <mergeCell ref="H172:I172"/>
    <mergeCell ref="F174:G174"/>
    <mergeCell ref="H174:I174"/>
    <mergeCell ref="F175:G175"/>
    <mergeCell ref="H175:I175"/>
    <mergeCell ref="H190:I190"/>
    <mergeCell ref="H191:I191"/>
    <mergeCell ref="H192:I192"/>
    <mergeCell ref="H193:I193"/>
    <mergeCell ref="H194:I194"/>
    <mergeCell ref="H195:I195"/>
    <mergeCell ref="F179:G179"/>
    <mergeCell ref="H179:I179"/>
    <mergeCell ref="F181:G181"/>
    <mergeCell ref="H181:I181"/>
    <mergeCell ref="H186:I186"/>
    <mergeCell ref="H188:I188"/>
    <mergeCell ref="H203:I203"/>
    <mergeCell ref="F212:G212"/>
    <mergeCell ref="F214:G214"/>
    <mergeCell ref="F216:G216"/>
    <mergeCell ref="H216:I216"/>
    <mergeCell ref="H217:I217"/>
    <mergeCell ref="H196:I196"/>
    <mergeCell ref="H198:I198"/>
    <mergeCell ref="H199:I199"/>
    <mergeCell ref="H200:I200"/>
    <mergeCell ref="H201:I201"/>
    <mergeCell ref="H202:I202"/>
    <mergeCell ref="H224:I224"/>
    <mergeCell ref="H225:I225"/>
    <mergeCell ref="F226:I226"/>
    <mergeCell ref="F234:G234"/>
    <mergeCell ref="H234:I234"/>
    <mergeCell ref="H235:I235"/>
    <mergeCell ref="H218:I218"/>
    <mergeCell ref="H219:I219"/>
    <mergeCell ref="H220:I220"/>
    <mergeCell ref="H221:I221"/>
    <mergeCell ref="H222:I222"/>
    <mergeCell ref="H223:I223"/>
    <mergeCell ref="F256:G256"/>
    <mergeCell ref="H256:I256"/>
    <mergeCell ref="H257:I257"/>
    <mergeCell ref="H236:I236"/>
    <mergeCell ref="H237:I237"/>
    <mergeCell ref="H238:I238"/>
    <mergeCell ref="H239:I239"/>
    <mergeCell ref="H240:I240"/>
    <mergeCell ref="H242:I242"/>
    <mergeCell ref="H258:I258"/>
    <mergeCell ref="H259:I259"/>
    <mergeCell ref="H260:I260"/>
    <mergeCell ref="H261:I261"/>
    <mergeCell ref="H262:I262"/>
    <mergeCell ref="H263:I263"/>
    <mergeCell ref="H243:I243"/>
    <mergeCell ref="H244:I244"/>
    <mergeCell ref="H245:I245"/>
    <mergeCell ref="H271:I271"/>
    <mergeCell ref="F272:G272"/>
    <mergeCell ref="H272:I272"/>
    <mergeCell ref="H264:I264"/>
    <mergeCell ref="H265:I265"/>
    <mergeCell ref="H266:I266"/>
    <mergeCell ref="H268:I268"/>
    <mergeCell ref="H269:I269"/>
    <mergeCell ref="H270:I270"/>
    <mergeCell ref="H281:I281"/>
    <mergeCell ref="H282:I282"/>
    <mergeCell ref="H283:I283"/>
    <mergeCell ref="H284:I284"/>
    <mergeCell ref="H285:I285"/>
    <mergeCell ref="H286:I286"/>
    <mergeCell ref="F278:G278"/>
    <mergeCell ref="H278:I278"/>
    <mergeCell ref="H279:I279"/>
    <mergeCell ref="H280:I280"/>
    <mergeCell ref="H293:I293"/>
    <mergeCell ref="H294:I294"/>
    <mergeCell ref="H295:I295"/>
    <mergeCell ref="H296:I296"/>
    <mergeCell ref="H297:I297"/>
    <mergeCell ref="H298:I298"/>
    <mergeCell ref="H287:I287"/>
    <mergeCell ref="H288:I288"/>
    <mergeCell ref="H289:I289"/>
    <mergeCell ref="H290:I290"/>
    <mergeCell ref="H291:I291"/>
    <mergeCell ref="H292:I292"/>
    <mergeCell ref="H304:I304"/>
    <mergeCell ref="H305:I305"/>
    <mergeCell ref="H306:I306"/>
    <mergeCell ref="H307:I307"/>
    <mergeCell ref="F311:G311"/>
    <mergeCell ref="H311:I311"/>
    <mergeCell ref="H299:I299"/>
    <mergeCell ref="F300:G300"/>
    <mergeCell ref="H300:I300"/>
    <mergeCell ref="F301:I301"/>
    <mergeCell ref="F303:G303"/>
    <mergeCell ref="H303:I303"/>
    <mergeCell ref="H327:I327"/>
    <mergeCell ref="F329:G329"/>
    <mergeCell ref="H329:I329"/>
    <mergeCell ref="H312:I312"/>
    <mergeCell ref="H313:I313"/>
    <mergeCell ref="H314:I314"/>
    <mergeCell ref="H315:I315"/>
    <mergeCell ref="F316:G316"/>
    <mergeCell ref="H316:I316"/>
    <mergeCell ref="H341:I341"/>
    <mergeCell ref="H342:I342"/>
    <mergeCell ref="H343:I343"/>
    <mergeCell ref="F107:G107"/>
    <mergeCell ref="H107:I107"/>
    <mergeCell ref="F108:G108"/>
    <mergeCell ref="F109:G109"/>
    <mergeCell ref="H109:I109"/>
    <mergeCell ref="F336:G336"/>
    <mergeCell ref="H336:I336"/>
    <mergeCell ref="F338:G338"/>
    <mergeCell ref="H338:I338"/>
    <mergeCell ref="F340:G340"/>
    <mergeCell ref="H340:I340"/>
    <mergeCell ref="H330:I330"/>
    <mergeCell ref="H331:I331"/>
    <mergeCell ref="H332:I332"/>
    <mergeCell ref="H333:I333"/>
    <mergeCell ref="H334:I334"/>
    <mergeCell ref="F335:G335"/>
    <mergeCell ref="H335:I335"/>
    <mergeCell ref="H321:I321"/>
    <mergeCell ref="F322:G322"/>
    <mergeCell ref="F324:G324"/>
    <mergeCell ref="F114:G114"/>
    <mergeCell ref="H114:I114"/>
    <mergeCell ref="F115:I115"/>
    <mergeCell ref="F112:G112"/>
    <mergeCell ref="H112:I112"/>
    <mergeCell ref="F113:G113"/>
    <mergeCell ref="H113:I113"/>
    <mergeCell ref="F110:G110"/>
    <mergeCell ref="H110:I110"/>
    <mergeCell ref="F111:G111"/>
    <mergeCell ref="H111:I111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Z331"/>
  <sheetViews>
    <sheetView zoomScale="70" zoomScaleNormal="70" workbookViewId="0" topLeftCell="A304">
      <selection pane="topLeft" activeCell="B4" sqref="B4"/>
    </sheetView>
  </sheetViews>
  <sheetFormatPr defaultRowHeight="15.75"/>
  <cols>
    <col min="1" max="1" width="9.71428571428571" style="51" customWidth="1"/>
    <col min="2" max="2" width="12.7142857142857" style="51" customWidth="1"/>
    <col min="3" max="3" width="21.5714285714286" style="51" customWidth="1"/>
    <col min="4" max="4" width="10.7142857142857" style="53" customWidth="1"/>
    <col min="5" max="5" width="27.8571428571429" style="53" customWidth="1"/>
    <col min="6" max="6" width="7.85714285714286" style="53" customWidth="1"/>
    <col min="7" max="7" width="6.85714285714286" style="53" customWidth="1"/>
    <col min="8" max="8" width="5.71428571428571" style="53" customWidth="1"/>
    <col min="9" max="9" width="4.71428571428571" style="53" customWidth="1"/>
    <col min="10" max="11" width="9.14285714285714" style="3" customWidth="1"/>
    <col min="12" max="16384" width="9.14285714285714" style="53"/>
  </cols>
  <sheetData>
    <row r="1" spans="2:9" ht="15.75">
      <c r="B1" s="52"/>
      <c r="E1" s="53" t="s">
        <v>88</v>
      </c>
      <c s="53" t="s">
        <v>89</v>
      </c>
      <c s="53">
        <f>6.7/45*1000</f>
        <v>148.88888888888891</v>
      </c>
      <c s="53" t="s">
        <v>89</v>
      </c>
      <c s="53">
        <f>6.7/55*1000</f>
        <v>121.81818181818183</v>
      </c>
    </row>
    <row r="2" spans="1:11" s="57" customFormat="1" ht="47.25">
      <c r="A2" s="54" t="s">
        <v>90</v>
      </c>
      <c s="55">
        <f>(B4+B29+B75+B102+B130+B183+B205+B236+B263+B309)/10</f>
        <v>57.642873265789468</v>
      </c>
      <c s="56"/>
      <c s="57" t="s">
        <v>91</v>
      </c>
      <c r="J2" s="58" t="s">
        <v>92</v>
      </c>
      <c s="58" t="s">
        <v>93</v>
      </c>
    </row>
    <row r="3" spans="1:11" ht="15.75">
      <c r="A3" s="51" t="s">
        <v>19</v>
      </c>
      <c s="51" t="s">
        <v>71</v>
      </c>
      <c s="51" t="s">
        <v>94</v>
      </c>
      <c s="53">
        <v>100</v>
      </c>
      <c r="J3" s="3">
        <v>65</v>
      </c>
      <c s="59">
        <f>J3*D3/1000</f>
        <v>6.5</v>
      </c>
    </row>
    <row r="4" spans="1:11" ht="15.75">
      <c r="A4" s="51" t="s">
        <v>95</v>
      </c>
      <c s="60">
        <f>K3+K4+K5+K17+K26</f>
        <v>38.745930000000001</v>
      </c>
      <c s="51" t="s">
        <v>96</v>
      </c>
      <c s="53">
        <v>20</v>
      </c>
      <c r="F4" s="53">
        <v>21</v>
      </c>
      <c r="J4" s="3">
        <v>498</v>
      </c>
      <c s="59">
        <f>F4*J4/1000</f>
        <v>10.458</v>
      </c>
    </row>
    <row r="5" spans="2:11" ht="15.75">
      <c r="B5" s="51">
        <f>D3+D4+D5+D17+D26</f>
        <v>560</v>
      </c>
      <c s="51" t="s">
        <v>97</v>
      </c>
      <c s="53">
        <v>200</v>
      </c>
      <c s="324" t="s">
        <v>98</v>
      </c>
      <c s="215" t="s">
        <v>99</v>
      </c>
      <c s="216"/>
      <c s="216"/>
      <c s="216"/>
      <c r="K5" s="59">
        <f>SUM(K8:K13)</f>
        <v>12.429930000000001</v>
      </c>
    </row>
    <row r="6" spans="5:9" ht="15.75">
      <c r="E6" s="325"/>
      <c s="217">
        <v>1</v>
      </c>
      <c s="218"/>
      <c s="218"/>
      <c s="219"/>
    </row>
    <row r="7" spans="5:9" ht="15.75">
      <c r="E7" s="326"/>
      <c s="136" t="s">
        <v>100</v>
      </c>
      <c s="137"/>
      <c s="136" t="s">
        <v>101</v>
      </c>
      <c s="137"/>
    </row>
    <row r="8" spans="5:11" ht="15.75">
      <c r="E8" s="61" t="s">
        <v>102</v>
      </c>
      <c s="62">
        <v>40</v>
      </c>
      <c s="63"/>
      <c s="62">
        <f t="shared" si="0" ref="H8:H13">F8</f>
        <v>40</v>
      </c>
      <c s="63"/>
      <c s="3">
        <v>40</v>
      </c>
      <c s="3">
        <f t="shared" si="1" ref="K8:K13">J8*F8/1000</f>
        <v>1.6000000000000001</v>
      </c>
    </row>
    <row r="9" spans="5:11" ht="15.75">
      <c r="E9" s="64" t="s">
        <v>103</v>
      </c>
      <c s="65">
        <v>140</v>
      </c>
      <c s="66"/>
      <c s="65">
        <f t="shared" si="0"/>
        <v>140</v>
      </c>
      <c s="66"/>
      <c s="3">
        <v>57.5</v>
      </c>
      <c s="3">
        <f t="shared" si="1"/>
        <v>8.0500000000000007</v>
      </c>
    </row>
    <row r="10" spans="5:11" ht="15.75">
      <c r="E10" s="64" t="s">
        <v>104</v>
      </c>
      <c s="65">
        <v>60</v>
      </c>
      <c s="66"/>
      <c s="65">
        <f t="shared" si="0"/>
        <v>60</v>
      </c>
      <c s="66"/>
      <c r="K10" s="3">
        <f t="shared" si="1"/>
        <v>0</v>
      </c>
    </row>
    <row r="11" spans="5:11" ht="15.75">
      <c r="E11" s="64" t="s">
        <v>105</v>
      </c>
      <c s="65">
        <v>5</v>
      </c>
      <c s="66"/>
      <c s="65">
        <f t="shared" si="0"/>
        <v>5</v>
      </c>
      <c s="66"/>
      <c s="3">
        <v>497.14999999999998</v>
      </c>
      <c s="3">
        <f t="shared" si="1"/>
        <v>2.4857499999999999</v>
      </c>
    </row>
    <row r="12" spans="5:11" ht="15.75">
      <c r="E12" s="64" t="s">
        <v>106</v>
      </c>
      <c s="65">
        <v>0.29999999999999999</v>
      </c>
      <c s="66"/>
      <c s="65">
        <f t="shared" si="0"/>
        <v>0.29999999999999999</v>
      </c>
      <c s="66"/>
      <c s="3">
        <v>17</v>
      </c>
      <c s="3">
        <f t="shared" si="1"/>
        <v>0.0050999999999999995</v>
      </c>
    </row>
    <row r="13" spans="5:11" ht="15.75">
      <c r="E13" s="64" t="s">
        <v>107</v>
      </c>
      <c s="65">
        <v>4</v>
      </c>
      <c s="66"/>
      <c s="65">
        <f t="shared" si="0"/>
        <v>4</v>
      </c>
      <c s="66"/>
      <c s="3">
        <v>72.269999999999996</v>
      </c>
      <c s="3">
        <f t="shared" si="1"/>
        <v>0.28908</v>
      </c>
    </row>
    <row r="14" spans="5:9" ht="15.75">
      <c r="E14" s="64"/>
      <c s="67"/>
      <c s="68"/>
      <c s="67"/>
      <c s="68"/>
    </row>
    <row r="15" spans="1:9" ht="15.75">
      <c r="A15" s="69"/>
      <c r="E15" s="70" t="s">
        <v>108</v>
      </c>
      <c s="117" t="s">
        <v>109</v>
      </c>
      <c s="118"/>
      <c s="220">
        <v>200</v>
      </c>
      <c s="221"/>
    </row>
    <row r="17" spans="3:11" ht="15.75">
      <c r="C17" s="51" t="s">
        <v>110</v>
      </c>
      <c s="53">
        <v>200</v>
      </c>
      <c s="319" t="s">
        <v>98</v>
      </c>
      <c s="222" t="s">
        <v>99</v>
      </c>
      <c s="223"/>
      <c s="223"/>
      <c s="223"/>
      <c r="K17" s="71">
        <f>K20+K21+K22+K23</f>
        <v>7.3504000000000005</v>
      </c>
    </row>
    <row r="18" spans="5:9" ht="15.75">
      <c r="E18" s="320"/>
      <c s="322">
        <v>1</v>
      </c>
      <c s="322"/>
      <c s="322"/>
      <c s="322"/>
    </row>
    <row r="19" spans="5:9" ht="15.75">
      <c r="E19" s="321"/>
      <c s="323" t="s">
        <v>100</v>
      </c>
      <c s="323"/>
      <c s="323" t="s">
        <v>101</v>
      </c>
      <c s="323"/>
    </row>
    <row r="20" spans="5:11" ht="15.75">
      <c r="E20" s="72" t="s">
        <v>16</v>
      </c>
      <c s="73">
        <v>4</v>
      </c>
      <c s="74"/>
      <c s="318">
        <f>F20</f>
        <v>4</v>
      </c>
      <c s="318"/>
      <c s="3">
        <v>272</v>
      </c>
      <c s="3">
        <f>F20*J20/1000</f>
        <v>1.0880000000000001</v>
      </c>
    </row>
    <row r="21" spans="5:11" ht="15.75">
      <c r="E21" s="75" t="s">
        <v>103</v>
      </c>
      <c s="76">
        <v>100</v>
      </c>
      <c s="77"/>
      <c s="318">
        <f>F21</f>
        <v>100</v>
      </c>
      <c s="318"/>
      <c s="3">
        <v>48.170000000000002</v>
      </c>
      <c s="3">
        <f>F21*J21/1000</f>
        <v>4.8170000000000002</v>
      </c>
    </row>
    <row r="22" spans="5:11" ht="15.75">
      <c r="E22" s="75" t="s">
        <v>104</v>
      </c>
      <c s="76">
        <v>110</v>
      </c>
      <c s="77"/>
      <c s="318">
        <f>F22</f>
        <v>110</v>
      </c>
      <c s="318"/>
      <c r="K22" s="3">
        <f>F22*J22/1000</f>
        <v>0</v>
      </c>
    </row>
    <row r="23" spans="5:11" ht="15.75">
      <c r="E23" s="75" t="s">
        <v>111</v>
      </c>
      <c s="78">
        <v>20</v>
      </c>
      <c s="79"/>
      <c s="318">
        <f>F23</f>
        <v>20</v>
      </c>
      <c s="318"/>
      <c s="3">
        <v>72.269999999999996</v>
      </c>
      <c s="3">
        <f>F23*J23/1000</f>
        <v>1.4453999999999998</v>
      </c>
    </row>
    <row r="24" spans="5:9" ht="15.75">
      <c r="E24" s="80" t="s">
        <v>108</v>
      </c>
      <c s="316" t="s">
        <v>109</v>
      </c>
      <c s="316"/>
      <c s="317">
        <v>200</v>
      </c>
      <c s="317"/>
    </row>
    <row r="26" spans="3:11" ht="15.75">
      <c r="C26" s="51" t="s">
        <v>112</v>
      </c>
      <c s="53">
        <v>40</v>
      </c>
      <c r="J26" s="3">
        <v>50.189999999999998</v>
      </c>
      <c s="71">
        <f>J26*D26/1000</f>
        <v>2.0076000000000001</v>
      </c>
    </row>
    <row r="27" spans="1:26" ht="16.5" thickBot="1">
      <c r="A27" s="81"/>
      <c s="81"/>
      <c s="81"/>
      <c s="82"/>
      <c s="82"/>
      <c s="82"/>
      <c s="82"/>
      <c s="82"/>
      <c s="82"/>
      <c s="83"/>
      <c s="83"/>
      <c s="82"/>
      <c s="82"/>
      <c s="82"/>
      <c s="82"/>
      <c s="82"/>
      <c s="82"/>
      <c s="82"/>
      <c s="82"/>
      <c s="82"/>
      <c s="82"/>
      <c s="82"/>
      <c s="82"/>
      <c s="82"/>
      <c s="82"/>
      <c s="82"/>
    </row>
    <row r="28" spans="1:11" ht="15.75">
      <c r="A28" s="51" t="s">
        <v>20</v>
      </c>
      <c s="51" t="s">
        <v>71</v>
      </c>
      <c s="228"/>
      <c s="228"/>
      <c s="228"/>
      <c s="228"/>
      <c s="228"/>
      <c s="228"/>
      <c s="228"/>
      <c s="231"/>
      <c s="231"/>
    </row>
    <row r="29" spans="1:11" ht="15.75">
      <c r="A29" s="51" t="s">
        <v>113</v>
      </c>
      <c s="85">
        <f>K29+K33+K58+K64+K71</f>
        <v>60.325489999999995</v>
      </c>
      <c s="227" t="s">
        <v>336</v>
      </c>
      <c s="228"/>
      <c s="227" t="s">
        <v>335</v>
      </c>
      <c s="230">
        <v>40</v>
      </c>
      <c s="230"/>
      <c s="228"/>
      <c s="228"/>
      <c s="231">
        <v>140</v>
      </c>
      <c s="84">
        <f>F29*J29/1000</f>
        <v>5.5999999999999996</v>
      </c>
    </row>
    <row r="30" spans="2:11" ht="15.75">
      <c r="B30" s="51">
        <f>D28+D33+D58+D64+D71</f>
        <v>480</v>
      </c>
      <c s="227"/>
      <c s="228"/>
      <c s="229"/>
      <c s="230"/>
      <c s="230"/>
      <c s="228"/>
      <c s="228"/>
      <c s="231"/>
      <c s="231"/>
    </row>
    <row r="31" spans="2:11" ht="15.75">
      <c r="B31" s="52"/>
      <c s="227"/>
      <c s="228"/>
      <c s="229"/>
      <c s="230"/>
      <c s="230"/>
      <c s="228"/>
      <c s="228"/>
      <c s="231"/>
      <c s="231"/>
    </row>
    <row r="32" spans="1:11" ht="15.75">
      <c r="A32" s="53"/>
      <c s="53"/>
      <c r="K32" s="89"/>
    </row>
    <row r="33" spans="1:11" ht="15">
      <c r="A33" s="53"/>
      <c s="53"/>
      <c s="90" t="s">
        <v>114</v>
      </c>
      <c s="53">
        <v>90</v>
      </c>
      <c r="F33" s="322">
        <v>1</v>
      </c>
      <c s="322"/>
      <c s="322"/>
      <c s="322"/>
      <c r="K33" s="84">
        <f>SUM(K35:K54)</f>
        <v>39.507389999999994</v>
      </c>
    </row>
    <row r="34" spans="1:9" ht="15.75">
      <c r="A34" s="53"/>
      <c s="53"/>
      <c r="F34" s="342" t="s">
        <v>100</v>
      </c>
      <c s="323"/>
      <c s="342" t="s">
        <v>101</v>
      </c>
      <c s="323"/>
    </row>
    <row r="35" spans="1:11" ht="15.75">
      <c r="A35" s="53"/>
      <c s="53"/>
      <c r="E35" s="91" t="s">
        <v>115</v>
      </c>
      <c s="91">
        <v>63.359999999999999</v>
      </c>
      <c s="92"/>
      <c s="285">
        <v>46.619999999999997</v>
      </c>
      <c s="285"/>
      <c s="3">
        <v>548</v>
      </c>
      <c s="3">
        <f>F35*J35/1000</f>
        <v>34.72128</v>
      </c>
    </row>
    <row r="36" spans="1:11" ht="15.75">
      <c r="A36" s="53"/>
      <c s="53"/>
      <c r="E36" s="91" t="s">
        <v>103</v>
      </c>
      <c s="91">
        <v>15.119999999999999</v>
      </c>
      <c s="92"/>
      <c s="285">
        <v>15.119999999999999</v>
      </c>
      <c s="285"/>
      <c s="3">
        <v>57.5</v>
      </c>
      <c s="3">
        <f>F36*J36/1000</f>
        <v>0.86939999999999995</v>
      </c>
    </row>
    <row r="37" spans="1:9" ht="15.75">
      <c r="A37" s="53"/>
      <c s="53"/>
      <c r="E37" s="91" t="s">
        <v>116</v>
      </c>
      <c s="91">
        <v>15.119999999999999</v>
      </c>
      <c s="92"/>
      <c s="285">
        <v>15.119999999999999</v>
      </c>
      <c s="285"/>
    </row>
    <row r="38" spans="1:11" ht="15.75">
      <c r="A38" s="53"/>
      <c s="53"/>
      <c r="E38" s="91" t="s">
        <v>117</v>
      </c>
      <c s="91">
        <v>11.34</v>
      </c>
      <c s="92"/>
      <c s="285">
        <v>11.34</v>
      </c>
      <c s="285"/>
      <c s="3">
        <v>50.090000000000003</v>
      </c>
      <c s="3">
        <f>F38*J38/1000</f>
        <v>0.5680206000000001</v>
      </c>
    </row>
    <row r="39" spans="1:11" ht="15.75">
      <c r="A39" s="53"/>
      <c s="53"/>
      <c r="E39" s="91" t="s">
        <v>118</v>
      </c>
      <c s="91">
        <v>6.2999999999999998</v>
      </c>
      <c s="92"/>
      <c s="285">
        <v>6.2999999999999998</v>
      </c>
      <c s="285"/>
      <c s="3">
        <v>200</v>
      </c>
      <c s="3">
        <f>F39*J39/1000</f>
        <v>1.26</v>
      </c>
    </row>
    <row r="40" spans="1:9" ht="15.75">
      <c r="A40" s="53"/>
      <c s="53"/>
      <c r="E40" s="91" t="s">
        <v>119</v>
      </c>
      <c s="91" t="s">
        <v>109</v>
      </c>
      <c s="92"/>
      <c s="285">
        <v>78.120000000000005</v>
      </c>
      <c s="285"/>
    </row>
    <row r="41" spans="1:11" ht="15.75">
      <c r="A41" s="53"/>
      <c s="53"/>
      <c r="E41" s="91" t="s">
        <v>5</v>
      </c>
      <c s="93">
        <v>3.7799999999999998</v>
      </c>
      <c s="94"/>
      <c s="285">
        <v>3.7799999999999998</v>
      </c>
      <c s="285"/>
      <c s="3">
        <v>152</v>
      </c>
      <c s="3">
        <f>F41*J41/1000</f>
        <v>0.57455999999999996</v>
      </c>
    </row>
    <row r="42" spans="1:9" ht="25.5">
      <c r="A42" s="53"/>
      <c s="53"/>
      <c r="E42" s="91" t="s">
        <v>120</v>
      </c>
      <c s="91" t="s">
        <v>109</v>
      </c>
      <c s="92"/>
      <c s="285" t="s">
        <v>109</v>
      </c>
      <c s="285"/>
    </row>
    <row r="43" spans="1:9" ht="15.75">
      <c r="A43" s="53"/>
      <c s="53"/>
      <c r="E43" s="91" t="s">
        <v>121</v>
      </c>
      <c s="91" t="s">
        <v>109</v>
      </c>
      <c s="92"/>
      <c s="285">
        <v>63</v>
      </c>
      <c s="285"/>
    </row>
    <row r="44" spans="1:9" ht="15.75">
      <c r="A44" s="53"/>
      <c s="53"/>
      <c r="E44" s="91" t="s">
        <v>122</v>
      </c>
      <c s="91" t="s">
        <v>109</v>
      </c>
      <c s="92"/>
      <c s="285">
        <v>27</v>
      </c>
      <c s="285"/>
    </row>
    <row r="45" spans="1:9" ht="15.75">
      <c r="A45" s="53"/>
      <c s="53"/>
      <c r="E45" s="91" t="s">
        <v>123</v>
      </c>
      <c s="91">
        <v>24.300000000000001</v>
      </c>
      <c s="92"/>
      <c s="285">
        <v>24.300000000000001</v>
      </c>
      <c s="285"/>
    </row>
    <row r="46" spans="1:9" ht="15.75">
      <c r="A46" s="53"/>
      <c s="53"/>
      <c r="E46" s="91" t="s">
        <v>116</v>
      </c>
      <c s="91">
        <v>24.300000000000001</v>
      </c>
      <c s="92"/>
      <c s="285">
        <v>24.300000000000001</v>
      </c>
      <c s="285"/>
    </row>
    <row r="47" spans="1:11" ht="15.75">
      <c r="A47" s="53"/>
      <c s="53"/>
      <c r="E47" s="91" t="s">
        <v>105</v>
      </c>
      <c s="95">
        <v>1.26</v>
      </c>
      <c s="96"/>
      <c s="285">
        <v>1.26</v>
      </c>
      <c s="285"/>
      <c s="3">
        <v>497.14999999999998</v>
      </c>
      <c s="3">
        <f t="shared" si="2" ref="K47:K54">F47*J47/1000</f>
        <v>0.62640899999999999</v>
      </c>
    </row>
    <row r="48" spans="1:11" ht="15.75">
      <c r="A48" s="53"/>
      <c s="53"/>
      <c r="E48" s="91" t="s">
        <v>34</v>
      </c>
      <c s="91">
        <v>1.26</v>
      </c>
      <c s="92"/>
      <c s="285">
        <v>1.26</v>
      </c>
      <c s="285"/>
      <c s="3">
        <v>37</v>
      </c>
      <c s="3">
        <f t="shared" si="2"/>
        <v>0.046619999999999995</v>
      </c>
    </row>
    <row r="49" spans="1:11" ht="15.75">
      <c r="A49" s="53"/>
      <c s="53"/>
      <c r="E49" s="91" t="s">
        <v>45</v>
      </c>
      <c s="91">
        <v>2.0699999999999998</v>
      </c>
      <c s="92"/>
      <c s="285">
        <v>1.6200000000000001</v>
      </c>
      <c s="285"/>
      <c s="3">
        <v>30</v>
      </c>
      <c s="3">
        <f t="shared" si="2"/>
        <v>0.062099999999999995</v>
      </c>
    </row>
    <row r="50" spans="1:11" ht="15.75">
      <c r="A50" s="53"/>
      <c s="53"/>
      <c r="E50" s="91" t="s">
        <v>44</v>
      </c>
      <c s="91">
        <v>0.63</v>
      </c>
      <c s="92"/>
      <c s="285">
        <v>0.54000000000000004</v>
      </c>
      <c s="285"/>
      <c s="3">
        <v>20</v>
      </c>
      <c s="3">
        <f t="shared" si="2"/>
        <v>0.0126</v>
      </c>
    </row>
    <row r="51" spans="1:11" ht="15.75">
      <c r="A51" s="53"/>
      <c s="53"/>
      <c r="E51" s="91" t="s">
        <v>105</v>
      </c>
      <c s="95">
        <v>0.45000000000000001</v>
      </c>
      <c s="96"/>
      <c s="285">
        <v>0.45000000000000001</v>
      </c>
      <c s="285"/>
      <c s="3">
        <v>497.14999999999998</v>
      </c>
      <c s="3">
        <f t="shared" si="2"/>
        <v>0.22371750000000001</v>
      </c>
    </row>
    <row r="52" spans="1:11" ht="15.75">
      <c r="A52" s="53"/>
      <c s="53"/>
      <c r="E52" s="91" t="s">
        <v>124</v>
      </c>
      <c s="91">
        <v>0.089999999999999997</v>
      </c>
      <c s="92"/>
      <c s="285">
        <v>0.089999999999999997</v>
      </c>
      <c s="285"/>
      <c s="3">
        <v>17</v>
      </c>
      <c s="3">
        <f t="shared" si="2"/>
        <v>0.0015300000000000001</v>
      </c>
    </row>
    <row r="53" spans="1:11" ht="15.75">
      <c r="A53" s="53"/>
      <c s="53"/>
      <c r="E53" s="91" t="s">
        <v>125</v>
      </c>
      <c s="91">
        <v>0.27000000000000002</v>
      </c>
      <c s="92"/>
      <c s="285">
        <v>0.27000000000000002</v>
      </c>
      <c s="285"/>
      <c s="3">
        <v>72.269999999999996</v>
      </c>
      <c s="3">
        <f t="shared" si="2"/>
        <v>0.019512900000000003</v>
      </c>
    </row>
    <row r="54" spans="1:11" ht="15.75">
      <c r="A54" s="53"/>
      <c s="53"/>
      <c r="E54" s="91" t="s">
        <v>126</v>
      </c>
      <c s="91">
        <v>3.7799999999999998</v>
      </c>
      <c s="92"/>
      <c s="285">
        <v>3.7799999999999998</v>
      </c>
      <c s="285"/>
      <c s="3">
        <v>138</v>
      </c>
      <c s="3">
        <f t="shared" si="2"/>
        <v>0.52163999999999999</v>
      </c>
    </row>
    <row r="55" spans="1:9" ht="15.75">
      <c r="A55" s="53"/>
      <c s="53"/>
      <c r="E55" s="97" t="s">
        <v>127</v>
      </c>
      <c s="339">
        <v>90</v>
      </c>
      <c s="340"/>
      <c s="340"/>
      <c s="341"/>
    </row>
    <row r="56" spans="1:9" ht="15.75">
      <c r="A56" s="53"/>
      <c s="53"/>
      <c r="E56" s="98"/>
      <c s="99"/>
      <c s="99"/>
      <c s="100"/>
      <c s="100"/>
    </row>
    <row r="58" spans="1:11" ht="15.75">
      <c r="A58" s="53"/>
      <c s="53"/>
      <c s="51" t="s">
        <v>128</v>
      </c>
      <c s="53">
        <v>150</v>
      </c>
      <c r="F58" s="277" t="s">
        <v>100</v>
      </c>
      <c s="277"/>
      <c s="277" t="s">
        <v>101</v>
      </c>
      <c s="277"/>
      <c r="K58" s="84">
        <f>K59+K60+K61</f>
        <v>4.70045</v>
      </c>
    </row>
    <row r="59" spans="5:11" ht="15.75">
      <c r="E59" s="61" t="s">
        <v>129</v>
      </c>
      <c s="62">
        <v>38</v>
      </c>
      <c s="63"/>
      <c s="275">
        <v>38</v>
      </c>
      <c s="275"/>
      <c s="3">
        <v>84</v>
      </c>
      <c s="3">
        <f>J59*F59/1000</f>
        <v>3.1920000000000002</v>
      </c>
    </row>
    <row r="60" spans="5:11" ht="15.75">
      <c r="E60" s="101" t="s">
        <v>105</v>
      </c>
      <c s="102">
        <v>3</v>
      </c>
      <c s="103"/>
      <c s="272">
        <v>3</v>
      </c>
      <c s="274"/>
      <c s="3">
        <v>497.14999999999998</v>
      </c>
      <c s="3">
        <f>J60*F60/1000</f>
        <v>1.4914499999999997</v>
      </c>
    </row>
    <row r="61" spans="5:11" ht="15.75">
      <c r="E61" s="61" t="s">
        <v>106</v>
      </c>
      <c s="67">
        <v>1</v>
      </c>
      <c s="68"/>
      <c s="275">
        <v>1</v>
      </c>
      <c s="275"/>
      <c s="3">
        <v>17</v>
      </c>
      <c s="3">
        <f>J61*F61/1000</f>
        <v>0.017000000000000001</v>
      </c>
    </row>
    <row r="62" spans="5:9" ht="15.75">
      <c r="E62" s="70" t="s">
        <v>108</v>
      </c>
      <c s="280" t="s">
        <v>109</v>
      </c>
      <c s="280"/>
      <c s="276">
        <v>150</v>
      </c>
      <c s="276"/>
    </row>
    <row r="64" spans="3:11" ht="15.75">
      <c r="C64" s="51" t="s">
        <v>130</v>
      </c>
      <c s="53">
        <v>200</v>
      </c>
      <c r="F64" s="277" t="s">
        <v>100</v>
      </c>
      <c s="277"/>
      <c s="277" t="s">
        <v>101</v>
      </c>
      <c s="277"/>
      <c r="K64" s="84">
        <f>SUM(K65:K68)</f>
        <v>8.514050000000001</v>
      </c>
    </row>
    <row r="65" spans="5:11" ht="15.75">
      <c r="E65" s="61" t="s">
        <v>131</v>
      </c>
      <c s="62">
        <v>4</v>
      </c>
      <c s="63"/>
      <c s="275">
        <v>4</v>
      </c>
      <c s="275"/>
      <c s="3">
        <v>420</v>
      </c>
      <c s="3">
        <f>J65*F65/1000</f>
        <v>1.6799999999999999</v>
      </c>
    </row>
    <row r="66" spans="5:11" ht="15.75">
      <c r="E66" s="64" t="s">
        <v>107</v>
      </c>
      <c s="65">
        <v>15</v>
      </c>
      <c s="66"/>
      <c s="272">
        <v>15</v>
      </c>
      <c s="274"/>
      <c s="3">
        <v>72.269999999999996</v>
      </c>
      <c s="3">
        <f>J66*F66/1000</f>
        <v>1.08405</v>
      </c>
    </row>
    <row r="67" spans="5:11" ht="15.75">
      <c r="E67" s="64" t="s">
        <v>65</v>
      </c>
      <c s="65">
        <v>100</v>
      </c>
      <c s="66"/>
      <c s="272">
        <v>100</v>
      </c>
      <c s="274"/>
      <c s="3">
        <v>57.5</v>
      </c>
      <c s="3">
        <f>J67*F67/1000</f>
        <v>5.75</v>
      </c>
    </row>
    <row r="68" spans="5:11" ht="15.75">
      <c r="E68" s="64" t="s">
        <v>104</v>
      </c>
      <c s="67">
        <v>81</v>
      </c>
      <c s="68"/>
      <c s="272">
        <v>81</v>
      </c>
      <c s="274"/>
      <c s="3">
        <v>0</v>
      </c>
      <c s="3">
        <f>J68*F68/1000</f>
        <v>0</v>
      </c>
    </row>
    <row r="69" spans="5:9" ht="15.75">
      <c r="E69" s="70" t="s">
        <v>108</v>
      </c>
      <c s="280" t="s">
        <v>109</v>
      </c>
      <c s="280"/>
      <c s="276">
        <v>200</v>
      </c>
      <c s="276"/>
    </row>
    <row r="71" spans="3:11" ht="15.75">
      <c r="C71" s="51" t="s">
        <v>112</v>
      </c>
      <c s="53">
        <v>40</v>
      </c>
      <c r="J71" s="3">
        <v>50.090000000000003</v>
      </c>
      <c s="84">
        <f>J71*D71/1000</f>
        <v>2.0036</v>
      </c>
    </row>
    <row r="72" spans="1:24" ht="16.5" thickBot="1">
      <c r="A72" s="81"/>
      <c s="81"/>
      <c s="81"/>
      <c s="82"/>
      <c s="82"/>
      <c s="82"/>
      <c s="82"/>
      <c s="82"/>
      <c s="82"/>
      <c s="83"/>
      <c s="83"/>
      <c s="82"/>
      <c s="82"/>
      <c s="82"/>
      <c s="82"/>
      <c s="82"/>
      <c s="82"/>
      <c s="82"/>
      <c s="82"/>
      <c s="82"/>
      <c s="82"/>
      <c s="82"/>
      <c s="82"/>
      <c s="82"/>
    </row>
    <row r="73" spans="3:11" ht="15.75">
      <c r="C73" s="227"/>
      <c s="228"/>
      <c s="228"/>
      <c s="228"/>
      <c s="228"/>
      <c s="228"/>
      <c s="228"/>
      <c s="231"/>
      <c s="231"/>
    </row>
    <row r="74" spans="1:11" ht="15.75">
      <c r="A74" s="51" t="s">
        <v>21</v>
      </c>
      <c s="51" t="s">
        <v>71</v>
      </c>
      <c s="51" t="s">
        <v>157</v>
      </c>
      <c s="53">
        <v>100</v>
      </c>
      <c r="F74" s="53">
        <v>100</v>
      </c>
      <c r="J74" s="3">
        <v>120</v>
      </c>
      <c s="3">
        <f>F74*J74/1000</f>
        <v>12</v>
      </c>
    </row>
    <row r="75" spans="1:2" ht="15.75">
      <c r="A75" s="51" t="s">
        <v>132</v>
      </c>
      <c s="104">
        <f>K74+K76+K80+K94+K99</f>
        <v>71.125425000000007</v>
      </c>
    </row>
    <row r="76" spans="1:11" ht="15.75">
      <c r="A76" s="53"/>
      <c s="53">
        <f>D74+D76+D80+D94+D99</f>
        <v>540</v>
      </c>
      <c s="51" t="s">
        <v>135</v>
      </c>
      <c s="53">
        <v>30</v>
      </c>
      <c r="F76" s="277" t="s">
        <v>100</v>
      </c>
      <c s="277"/>
      <c s="277" t="s">
        <v>101</v>
      </c>
      <c s="277"/>
      <c r="K76" s="44">
        <f>K77</f>
        <v>4.4100000000000001</v>
      </c>
    </row>
    <row r="77" spans="1:11" ht="15.75">
      <c r="A77" s="53"/>
      <c s="87"/>
      <c r="E77" s="61" t="s">
        <v>136</v>
      </c>
      <c s="105">
        <v>30</v>
      </c>
      <c s="106"/>
      <c s="275">
        <v>30</v>
      </c>
      <c s="275"/>
      <c s="3">
        <v>147</v>
      </c>
      <c s="3">
        <f>F77*J77/1000</f>
        <v>4.4100000000000001</v>
      </c>
    </row>
    <row r="78" spans="1:9" ht="15.75">
      <c r="A78" s="53"/>
      <c s="53"/>
      <c r="F78" s="280" t="s">
        <v>109</v>
      </c>
      <c s="280"/>
      <c s="276">
        <v>20</v>
      </c>
      <c s="276"/>
    </row>
    <row r="80" spans="1:11" ht="15.75">
      <c r="A80" s="53"/>
      <c s="53"/>
      <c s="107" t="s">
        <v>137</v>
      </c>
      <c s="53">
        <v>170</v>
      </c>
      <c r="F80" s="108" t="s">
        <v>100</v>
      </c>
      <c s="108" t="s">
        <v>101</v>
      </c>
      <c s="277"/>
      <c s="277"/>
      <c r="K80" s="44">
        <f>K81+K82+K83+K84+K85+K86+K87+K88+K89+K90+K91</f>
        <v>51.075775000000007</v>
      </c>
    </row>
    <row r="81" spans="1:11" ht="15.75">
      <c r="A81" s="53"/>
      <c s="53"/>
      <c r="E81" s="109" t="s">
        <v>138</v>
      </c>
      <c s="110">
        <v>158.09999999999999</v>
      </c>
      <c s="110">
        <v>158.09999999999999</v>
      </c>
      <c s="313"/>
      <c s="275"/>
      <c s="3">
        <v>260</v>
      </c>
      <c s="3">
        <f t="shared" si="3" ref="K81:K91">J81*F81/1000</f>
        <v>41.106000000000002</v>
      </c>
    </row>
    <row r="82" spans="1:11" ht="15.75">
      <c r="A82" s="53"/>
      <c s="53"/>
      <c r="E82" s="109" t="s">
        <v>118</v>
      </c>
      <c s="110">
        <v>5.9000000000000004</v>
      </c>
      <c s="110">
        <v>5.9000000000000004</v>
      </c>
      <c s="313"/>
      <c s="275"/>
      <c s="3">
        <v>200</v>
      </c>
      <c s="3">
        <f t="shared" si="3"/>
        <v>1.1799999999999999</v>
      </c>
    </row>
    <row r="83" spans="1:11" ht="15.75">
      <c r="A83" s="53"/>
      <c s="53"/>
      <c r="E83" s="109" t="s">
        <v>139</v>
      </c>
      <c s="110">
        <v>4.9800000000000004</v>
      </c>
      <c s="110">
        <v>4.54</v>
      </c>
      <c s="313"/>
      <c s="275"/>
      <c s="111">
        <v>140</v>
      </c>
      <c s="3">
        <f t="shared" si="3"/>
        <v>0.69720000000000004</v>
      </c>
    </row>
    <row r="84" spans="1:11" ht="15.75">
      <c r="A84" s="53"/>
      <c s="53"/>
      <c r="E84" s="109" t="s">
        <v>37</v>
      </c>
      <c s="110">
        <v>11</v>
      </c>
      <c s="110">
        <v>11</v>
      </c>
      <c s="314"/>
      <c s="315"/>
      <c s="111">
        <v>40</v>
      </c>
      <c s="3">
        <f t="shared" si="3"/>
        <v>0.44</v>
      </c>
    </row>
    <row r="85" spans="1:11" ht="15.75">
      <c r="A85" s="53"/>
      <c s="53"/>
      <c r="E85" s="109" t="s">
        <v>125</v>
      </c>
      <c s="110">
        <v>11</v>
      </c>
      <c s="110">
        <v>11</v>
      </c>
      <c s="313"/>
      <c s="275"/>
      <c s="3">
        <v>72.269999999999996</v>
      </c>
      <c s="3">
        <f t="shared" si="3"/>
        <v>0.79496999999999995</v>
      </c>
    </row>
    <row r="86" spans="1:11" ht="15.75">
      <c r="A86" s="53"/>
      <c s="53"/>
      <c r="E86" s="109" t="s">
        <v>4</v>
      </c>
      <c s="110">
        <v>5.9000000000000004</v>
      </c>
      <c s="110">
        <v>5.9000000000000004</v>
      </c>
      <c s="313"/>
      <c s="275"/>
      <c s="3">
        <v>174</v>
      </c>
      <c s="3">
        <f t="shared" si="3"/>
        <v>1.0266000000000002</v>
      </c>
    </row>
    <row r="87" spans="5:11" ht="15.75">
      <c r="E87" s="109" t="s">
        <v>105</v>
      </c>
      <c s="110">
        <v>5.9000000000000004</v>
      </c>
      <c s="110">
        <v>5.9000000000000004</v>
      </c>
      <c s="313"/>
      <c s="275"/>
      <c s="3">
        <v>497.14999999999998</v>
      </c>
      <c s="3">
        <f t="shared" si="3"/>
        <v>2.9331849999999999</v>
      </c>
    </row>
    <row r="88" spans="5:11" ht="15.75">
      <c r="E88" s="109" t="s">
        <v>124</v>
      </c>
      <c s="110">
        <v>0.46000000000000002</v>
      </c>
      <c s="110">
        <v>0.46000000000000002</v>
      </c>
      <c s="313"/>
      <c s="275"/>
      <c s="3">
        <v>17</v>
      </c>
      <c s="3">
        <f t="shared" si="3"/>
        <v>0.0078200000000000006</v>
      </c>
    </row>
    <row r="89" spans="5:11" ht="15.75">
      <c r="E89" s="109" t="s">
        <v>104</v>
      </c>
      <c s="110">
        <v>40.799999999999997</v>
      </c>
      <c s="110">
        <v>40.799999999999997</v>
      </c>
      <c s="313"/>
      <c s="275"/>
      <c s="3">
        <v>0</v>
      </c>
      <c s="3">
        <f t="shared" si="3"/>
        <v>0</v>
      </c>
    </row>
    <row r="90" spans="5:11" ht="15.75">
      <c r="E90" s="109" t="s">
        <v>140</v>
      </c>
      <c s="110">
        <v>0.050000000000000003</v>
      </c>
      <c s="110">
        <v>0.050000000000000003</v>
      </c>
      <c s="313"/>
      <c s="275"/>
      <c s="112"/>
      <c s="3">
        <f t="shared" si="3"/>
        <v>0</v>
      </c>
    </row>
    <row r="91" spans="5:11" ht="15.75">
      <c r="E91" s="97" t="s">
        <v>127</v>
      </c>
      <c s="285">
        <v>170</v>
      </c>
      <c s="285"/>
      <c s="313"/>
      <c s="275"/>
      <c s="3">
        <v>17</v>
      </c>
      <c s="3">
        <f t="shared" si="3"/>
        <v>2.8900000000000001</v>
      </c>
    </row>
    <row r="92" spans="5:9" ht="15.75">
      <c r="E92" s="113"/>
      <c s="312"/>
      <c s="312"/>
      <c s="276"/>
      <c s="276"/>
    </row>
    <row r="94" spans="3:11" ht="15.75">
      <c r="C94" s="51" t="s">
        <v>141</v>
      </c>
      <c s="53">
        <v>200</v>
      </c>
      <c r="F94" s="277" t="s">
        <v>100</v>
      </c>
      <c s="277"/>
      <c s="277" t="s">
        <v>101</v>
      </c>
      <c s="277"/>
      <c r="K94" s="44">
        <f>K95+K96</f>
        <v>1.4740500000000001</v>
      </c>
    </row>
    <row r="95" spans="5:11" ht="15.75">
      <c r="E95" s="61" t="s">
        <v>8</v>
      </c>
      <c s="62">
        <v>0.59999999999999998</v>
      </c>
      <c s="63"/>
      <c s="275">
        <v>0.59999999999999998</v>
      </c>
      <c s="275"/>
      <c s="3">
        <v>650</v>
      </c>
      <c s="3">
        <f>F95*J95/1000</f>
        <v>0.39000000000000001</v>
      </c>
    </row>
    <row r="96" spans="5:11" ht="15.75">
      <c r="E96" s="64" t="s">
        <v>107</v>
      </c>
      <c s="67">
        <v>15</v>
      </c>
      <c s="68"/>
      <c s="272">
        <v>15</v>
      </c>
      <c s="274"/>
      <c s="3">
        <v>72.269999999999996</v>
      </c>
      <c s="3">
        <f>F96*J96/1000</f>
        <v>1.08405</v>
      </c>
    </row>
    <row r="97" spans="5:9" ht="15.75">
      <c r="E97" s="70" t="s">
        <v>108</v>
      </c>
      <c s="280" t="s">
        <v>109</v>
      </c>
      <c s="280"/>
      <c s="276">
        <v>200</v>
      </c>
      <c s="276"/>
    </row>
    <row r="99" spans="3:11" ht="15.75">
      <c r="C99" s="51" t="s">
        <v>142</v>
      </c>
      <c s="53">
        <v>40</v>
      </c>
      <c r="J99" s="3">
        <v>54.140000000000001</v>
      </c>
      <c s="44">
        <f>D99*J99/1000</f>
        <v>2.1656</v>
      </c>
    </row>
    <row r="100" spans="1:26" ht="16.5" thickBot="1">
      <c r="A100" s="81"/>
      <c s="81"/>
      <c s="81"/>
      <c s="82"/>
      <c s="82"/>
      <c s="82"/>
      <c s="82"/>
      <c s="82"/>
      <c s="82"/>
      <c s="83"/>
      <c s="83"/>
      <c s="82"/>
      <c s="82"/>
      <c s="82"/>
      <c s="82"/>
      <c s="82"/>
      <c s="82"/>
      <c s="82"/>
      <c s="82"/>
      <c s="82"/>
      <c s="82"/>
      <c s="82"/>
      <c s="82"/>
      <c s="82"/>
      <c s="82"/>
      <c s="82"/>
    </row>
    <row r="101" spans="1:11" ht="15.75">
      <c r="A101" s="51" t="s">
        <v>22</v>
      </c>
      <c s="51" t="s">
        <v>71</v>
      </c>
      <c s="51" t="s">
        <v>143</v>
      </c>
      <c s="53">
        <v>100</v>
      </c>
      <c r="J101" s="114">
        <v>200</v>
      </c>
      <c s="115">
        <f>D101*J101/1000</f>
        <v>20</v>
      </c>
    </row>
    <row r="102" spans="1:13" ht="15.75">
      <c r="A102" s="51" t="s">
        <v>144</v>
      </c>
      <c s="116">
        <f>K104+K101+K115+K121+K127</f>
        <v>70.610643999999994</v>
      </c>
      <c r="L102" s="232"/>
      <c s="232"/>
    </row>
    <row r="103" spans="2:13" ht="15.75">
      <c r="B103" s="51">
        <f>D101+D104+D115+D121+D127</f>
        <v>490</v>
      </c>
      <c r="L103" s="232"/>
      <c s="232"/>
    </row>
    <row r="104" spans="1:13" ht="15.75">
      <c r="A104" s="53"/>
      <c s="53"/>
      <c s="51" t="s">
        <v>329</v>
      </c>
      <c r="F104" s="277" t="s">
        <v>100</v>
      </c>
      <c s="277"/>
      <c s="277" t="s">
        <v>101</v>
      </c>
      <c s="277"/>
      <c r="K104" s="208">
        <f>SUM(K106:K112)</f>
        <v>41.181443999999999</v>
      </c>
      <c s="232"/>
      <c s="232"/>
    </row>
    <row r="105" spans="1:13" ht="15.75">
      <c r="A105" s="53"/>
      <c s="53"/>
      <c r="E105" s="211"/>
      <c s="275"/>
      <c s="275"/>
      <c s="209"/>
      <c s="210"/>
      <c r="K105" s="3">
        <f t="shared" si="4" ref="K105:K112">J105/1000*F105</f>
        <v>0</v>
      </c>
      <c s="243"/>
      <c s="243"/>
    </row>
    <row r="106" spans="1:13" ht="15.75">
      <c r="A106" s="53"/>
      <c s="53"/>
      <c r="E106" s="212" t="s">
        <v>330</v>
      </c>
      <c s="278">
        <v>127.8</v>
      </c>
      <c s="279"/>
      <c s="270">
        <v>91.799999999999997</v>
      </c>
      <c s="271"/>
      <c s="3">
        <v>298.98000000000002</v>
      </c>
      <c s="3">
        <f t="shared" si="4"/>
        <v>38.209644000000004</v>
      </c>
      <c s="243"/>
      <c s="243"/>
    </row>
    <row r="107" spans="1:13" ht="15.75">
      <c r="A107" s="53"/>
      <c s="53"/>
      <c r="E107" s="212" t="s">
        <v>5</v>
      </c>
      <c s="270">
        <v>10.800000000000001</v>
      </c>
      <c s="271"/>
      <c s="270">
        <v>10.800000000000001</v>
      </c>
      <c s="271"/>
      <c s="3">
        <v>152</v>
      </c>
      <c s="3">
        <f t="shared" si="4"/>
        <v>1.6416000000000002</v>
      </c>
      <c s="243"/>
      <c s="243"/>
    </row>
    <row r="108" spans="1:13" ht="15.75">
      <c r="A108" s="53"/>
      <c s="53"/>
      <c r="E108" s="212" t="s">
        <v>331</v>
      </c>
      <c s="270">
        <v>16.199999999999999</v>
      </c>
      <c s="271"/>
      <c s="270">
        <v>16.199999999999999</v>
      </c>
      <c s="271"/>
      <c s="3">
        <v>20</v>
      </c>
      <c s="3">
        <f t="shared" si="4"/>
        <v>0.32400000000000001</v>
      </c>
      <c s="243"/>
      <c s="243"/>
    </row>
    <row r="109" spans="1:13" ht="15.75">
      <c r="A109" s="53"/>
      <c s="53"/>
      <c r="E109" s="212" t="s">
        <v>332</v>
      </c>
      <c s="270">
        <v>5.4000000000000004</v>
      </c>
      <c s="271"/>
      <c s="270">
        <v>5.4000000000000004</v>
      </c>
      <c s="271"/>
      <c s="3">
        <v>37</v>
      </c>
      <c s="3">
        <f t="shared" si="4"/>
        <v>0.19980000000000001</v>
      </c>
      <c s="243"/>
      <c s="243"/>
    </row>
    <row r="110" spans="1:13" ht="15.75">
      <c r="A110" s="53"/>
      <c s="53"/>
      <c r="E110" s="212" t="s">
        <v>333</v>
      </c>
      <c s="270">
        <v>5.4000000000000004</v>
      </c>
      <c s="271"/>
      <c s="270">
        <v>5.4000000000000004</v>
      </c>
      <c s="271"/>
      <c s="3">
        <v>138</v>
      </c>
      <c s="3">
        <f t="shared" si="4"/>
        <v>0.74520000000000008</v>
      </c>
      <c s="243"/>
      <c s="243"/>
    </row>
    <row r="111" spans="1:13" ht="15.75">
      <c r="A111" s="53"/>
      <c s="53"/>
      <c r="E111" s="212" t="s">
        <v>334</v>
      </c>
      <c s="270">
        <v>3.6000000000000001</v>
      </c>
      <c s="271"/>
      <c s="270">
        <v>3.6000000000000001</v>
      </c>
      <c s="271"/>
      <c s="3">
        <v>17</v>
      </c>
      <c s="3">
        <f t="shared" si="4"/>
        <v>0.061200000000000004</v>
      </c>
      <c s="243"/>
      <c s="243"/>
    </row>
    <row r="112" spans="1:13" ht="15.75">
      <c r="A112" s="53"/>
      <c s="53"/>
      <c r="E112" s="213" t="s">
        <v>127</v>
      </c>
      <c s="272">
        <v>90</v>
      </c>
      <c s="273"/>
      <c s="273"/>
      <c s="274"/>
      <c r="K112" s="3">
        <f t="shared" si="4"/>
        <v>0</v>
      </c>
      <c s="243"/>
      <c s="243"/>
    </row>
    <row r="113" spans="1:13" ht="15.75">
      <c r="A113" s="53"/>
      <c s="53"/>
      <c r="E113" s="70"/>
      <c s="117"/>
      <c s="118"/>
      <c s="276"/>
      <c s="276"/>
      <c r="L113" s="232"/>
      <c s="232"/>
    </row>
    <row r="115" spans="1:11" ht="15.75">
      <c r="A115" s="53"/>
      <c s="53"/>
      <c s="51" t="s">
        <v>148</v>
      </c>
      <c s="53">
        <v>150</v>
      </c>
      <c r="F115" s="277" t="s">
        <v>100</v>
      </c>
      <c s="277"/>
      <c s="277" t="s">
        <v>101</v>
      </c>
      <c s="277"/>
      <c r="K115" s="115">
        <f>SUM(K116:K118)</f>
        <v>4.8765499999999999</v>
      </c>
    </row>
    <row r="116" spans="1:11" ht="15.75">
      <c r="A116" s="53"/>
      <c s="53"/>
      <c r="E116" s="61" t="s">
        <v>13</v>
      </c>
      <c s="62">
        <v>52</v>
      </c>
      <c s="63"/>
      <c s="275">
        <v>52</v>
      </c>
      <c s="275"/>
      <c s="3">
        <v>65</v>
      </c>
      <c s="3">
        <f>F116*J116/1000</f>
        <v>3.3799999999999999</v>
      </c>
    </row>
    <row r="117" spans="1:11" ht="15.75">
      <c r="A117" s="53"/>
      <c s="53"/>
      <c r="E117" s="61" t="s">
        <v>106</v>
      </c>
      <c s="65">
        <v>0.29999999999999999</v>
      </c>
      <c s="66"/>
      <c s="275">
        <v>0.29999999999999999</v>
      </c>
      <c s="275"/>
      <c s="3">
        <v>17</v>
      </c>
      <c s="3">
        <f>F117*J117/1000</f>
        <v>0.0050999999999999995</v>
      </c>
    </row>
    <row r="118" spans="1:11" ht="15.75">
      <c r="A118" s="53"/>
      <c s="53"/>
      <c r="E118" s="61" t="s">
        <v>105</v>
      </c>
      <c s="67">
        <v>3</v>
      </c>
      <c s="68"/>
      <c s="275">
        <v>3</v>
      </c>
      <c s="275"/>
      <c s="3">
        <v>497.14999999999998</v>
      </c>
      <c s="3">
        <f>F118*J118/1000</f>
        <v>1.4914499999999997</v>
      </c>
    </row>
    <row r="119" spans="5:9" ht="15.75">
      <c r="E119" s="70" t="s">
        <v>108</v>
      </c>
      <c s="117" t="s">
        <v>109</v>
      </c>
      <c s="118"/>
      <c s="276">
        <v>150</v>
      </c>
      <c s="276"/>
    </row>
    <row r="121" spans="3:11" ht="15.75">
      <c r="C121" s="51" t="s">
        <v>149</v>
      </c>
      <c s="53">
        <v>200</v>
      </c>
      <c r="F121" s="277" t="s">
        <v>100</v>
      </c>
      <c s="277"/>
      <c s="277" t="s">
        <v>101</v>
      </c>
      <c s="277"/>
      <c r="K121" s="115">
        <f>SUM(K122:K124)</f>
        <v>2.5490500000000003</v>
      </c>
    </row>
    <row r="122" spans="5:11" ht="15.75">
      <c r="E122" s="61" t="s">
        <v>8</v>
      </c>
      <c s="62">
        <v>0.59999999999999998</v>
      </c>
      <c s="63"/>
      <c s="275">
        <v>0.59999999999999998</v>
      </c>
      <c s="275"/>
      <c s="3">
        <v>650</v>
      </c>
      <c s="3">
        <f>F122*J122/1000</f>
        <v>0.39000000000000001</v>
      </c>
    </row>
    <row r="123" spans="5:11" ht="15.75">
      <c r="E123" s="64" t="s">
        <v>107</v>
      </c>
      <c s="65">
        <v>15</v>
      </c>
      <c s="66"/>
      <c s="272">
        <v>15</v>
      </c>
      <c s="274"/>
      <c s="3">
        <v>72.269999999999996</v>
      </c>
      <c s="3">
        <f>F123*J123/1000</f>
        <v>1.08405</v>
      </c>
    </row>
    <row r="124" spans="5:11" ht="15.75">
      <c r="E124" s="64" t="s">
        <v>150</v>
      </c>
      <c s="67">
        <v>5</v>
      </c>
      <c s="68"/>
      <c s="272">
        <v>4</v>
      </c>
      <c s="274"/>
      <c s="3">
        <v>215</v>
      </c>
      <c s="3">
        <f>F124*J124/1000</f>
        <v>1.075</v>
      </c>
    </row>
    <row r="125" spans="5:9" ht="15.75">
      <c r="E125" s="70" t="s">
        <v>108</v>
      </c>
      <c s="280" t="s">
        <v>109</v>
      </c>
      <c s="280"/>
      <c s="280" t="s">
        <v>151</v>
      </c>
      <c s="280"/>
    </row>
    <row r="127" spans="3:11" ht="15.75">
      <c r="C127" s="51" t="s">
        <v>112</v>
      </c>
      <c s="53">
        <v>40</v>
      </c>
      <c r="J127" s="3">
        <v>50.090000000000003</v>
      </c>
      <c s="115">
        <f>J127*D127/1000</f>
        <v>2.0036</v>
      </c>
    </row>
    <row r="128" spans="1:26" ht="16.5" thickBot="1">
      <c r="A128" s="81"/>
      <c s="81"/>
      <c s="81"/>
      <c s="82"/>
      <c s="82"/>
      <c s="82"/>
      <c s="82"/>
      <c s="82"/>
      <c s="82"/>
      <c s="83"/>
      <c s="83"/>
      <c s="82"/>
      <c s="82"/>
      <c s="82"/>
      <c s="82"/>
      <c s="82"/>
      <c s="82"/>
      <c s="82"/>
      <c s="82"/>
      <c s="82"/>
      <c s="82"/>
      <c s="82"/>
      <c s="82"/>
      <c s="82"/>
      <c s="82"/>
      <c s="82"/>
    </row>
    <row r="129" spans="1:11" ht="15.75">
      <c r="A129" s="51" t="s">
        <v>23</v>
      </c>
      <c s="51" t="s">
        <v>71</v>
      </c>
      <c s="86"/>
      <c s="87"/>
      <c s="87"/>
      <c s="311"/>
      <c s="311"/>
      <c s="311"/>
      <c s="311"/>
      <c s="31"/>
      <c s="114"/>
    </row>
    <row r="130" spans="1:11" ht="15.75">
      <c r="A130" s="51" t="s">
        <v>152</v>
      </c>
      <c s="119">
        <f>K130+K135+K137+K146+K148+K150</f>
        <v>50.242750999999991</v>
      </c>
      <c s="227" t="s">
        <v>341</v>
      </c>
      <c s="228">
        <v>40</v>
      </c>
      <c s="227" t="s">
        <v>335</v>
      </c>
      <c s="230">
        <v>40</v>
      </c>
      <c s="230"/>
      <c s="228"/>
      <c s="228"/>
      <c s="231">
        <v>140</v>
      </c>
      <c s="84">
        <f>F130*J130/1000</f>
        <v>5.5999999999999996</v>
      </c>
    </row>
    <row r="131" spans="2:11" ht="15.75">
      <c r="B131" s="51">
        <f>D130+D135+D137+D148+D146+D150</f>
        <v>580</v>
      </c>
      <c s="86"/>
      <c s="87"/>
      <c s="120"/>
      <c s="308"/>
      <c s="308"/>
      <c s="309"/>
      <c s="309"/>
      <c s="31"/>
      <c s="31"/>
    </row>
    <row r="132" spans="6:9" ht="15.75" hidden="1">
      <c r="F132" s="310"/>
      <c s="310"/>
      <c s="310"/>
      <c s="310"/>
    </row>
    <row r="133" spans="5:11" ht="15.75" hidden="1">
      <c r="E133" s="121"/>
      <c s="307"/>
      <c s="307"/>
      <c r="K133" s="122">
        <f>F133*J133/1000</f>
        <v>0</v>
      </c>
    </row>
    <row r="134" spans="6:9" ht="15.75" hidden="1">
      <c r="F134" s="310"/>
      <c s="310"/>
      <c s="310"/>
      <c s="310"/>
    </row>
    <row r="135" spans="1:11" ht="15.75" hidden="1">
      <c r="A135" s="53"/>
      <c s="53"/>
      <c s="123"/>
      <c s="124"/>
      <c s="121"/>
      <c s="307"/>
      <c s="307"/>
      <c s="307"/>
      <c s="307"/>
      <c r="K135" s="122"/>
    </row>
    <row r="137" spans="1:11" ht="15.75">
      <c r="A137" s="53"/>
      <c s="53"/>
      <c s="51" t="s">
        <v>153</v>
      </c>
      <c s="53">
        <v>200</v>
      </c>
      <c r="F137" s="277" t="s">
        <v>100</v>
      </c>
      <c s="277"/>
      <c s="277" t="s">
        <v>101</v>
      </c>
      <c s="277"/>
      <c r="K137" s="122">
        <f>SUM(K138:K143)</f>
        <v>34.286700999999994</v>
      </c>
    </row>
    <row r="138" spans="1:11" ht="15.75">
      <c r="A138" s="53"/>
      <c s="53"/>
      <c r="E138" s="61" t="s">
        <v>154</v>
      </c>
      <c s="62">
        <v>137.94</v>
      </c>
      <c s="63"/>
      <c s="275">
        <f t="shared" si="5" ref="H138:H142">F138</f>
        <v>137.94</v>
      </c>
      <c s="275"/>
      <c s="3">
        <v>140</v>
      </c>
      <c s="3">
        <f t="shared" si="6" ref="K138:K143">F138*J138/1000</f>
        <v>19.311599999999999</v>
      </c>
    </row>
    <row r="139" spans="1:11" ht="15.75">
      <c r="A139" s="53"/>
      <c s="53"/>
      <c r="E139" s="64" t="s">
        <v>103</v>
      </c>
      <c s="65">
        <v>51.719999999999999</v>
      </c>
      <c s="66"/>
      <c s="275">
        <f t="shared" si="5"/>
        <v>51.719999999999999</v>
      </c>
      <c s="275"/>
      <c s="3">
        <v>57.5</v>
      </c>
      <c s="3">
        <f t="shared" si="6"/>
        <v>2.9739</v>
      </c>
    </row>
    <row r="140" spans="1:11" ht="15.75">
      <c r="A140" s="53"/>
      <c s="53"/>
      <c r="E140" s="64" t="s">
        <v>105</v>
      </c>
      <c s="65">
        <v>6.9000000000000004</v>
      </c>
      <c s="66"/>
      <c s="275">
        <f t="shared" si="5"/>
        <v>6.9000000000000004</v>
      </c>
      <c s="275"/>
      <c s="3">
        <v>497.14999999999998</v>
      </c>
      <c s="3">
        <f t="shared" si="6"/>
        <v>3.4303349999999999</v>
      </c>
    </row>
    <row r="141" spans="1:11" ht="15.75">
      <c r="A141" s="53"/>
      <c s="53"/>
      <c r="E141" s="64" t="s">
        <v>116</v>
      </c>
      <c s="65">
        <v>51.719999999999999</v>
      </c>
      <c s="66"/>
      <c s="275">
        <f t="shared" si="5"/>
        <v>51.719999999999999</v>
      </c>
      <c s="275"/>
      <c r="K141" s="3">
        <f t="shared" si="6"/>
        <v>0</v>
      </c>
    </row>
    <row r="142" spans="1:11" ht="15.75">
      <c r="A142" s="53"/>
      <c s="53"/>
      <c r="E142" s="64" t="s">
        <v>105</v>
      </c>
      <c s="125">
        <v>17.239999999999998</v>
      </c>
      <c s="126"/>
      <c s="275">
        <f t="shared" si="5"/>
        <v>17.239999999999998</v>
      </c>
      <c s="275"/>
      <c s="3">
        <v>497.14999999999998</v>
      </c>
      <c s="3">
        <f t="shared" si="6"/>
        <v>8.5708659999999988</v>
      </c>
    </row>
    <row r="143" spans="1:11" ht="15.75">
      <c r="A143" s="53"/>
      <c s="53"/>
      <c r="E143" s="61"/>
      <c s="275"/>
      <c s="275"/>
      <c s="275"/>
      <c s="275"/>
      <c r="K143" s="3">
        <f t="shared" si="6"/>
        <v>0</v>
      </c>
    </row>
    <row r="144" spans="1:9" ht="15.75">
      <c r="A144" s="53"/>
      <c s="53"/>
      <c r="E144" s="70" t="s">
        <v>108</v>
      </c>
      <c s="280" t="s">
        <v>109</v>
      </c>
      <c s="280"/>
      <c s="276">
        <v>200</v>
      </c>
      <c s="276"/>
    </row>
    <row r="145" spans="1:9" ht="15.75">
      <c r="A145" s="53"/>
      <c s="53"/>
      <c r="F145" s="277" t="s">
        <v>100</v>
      </c>
      <c s="277"/>
      <c s="277" t="s">
        <v>101</v>
      </c>
      <c s="277"/>
    </row>
    <row r="146" spans="1:11" ht="15.75">
      <c r="A146" s="53"/>
      <c s="53"/>
      <c s="51" t="s">
        <v>155</v>
      </c>
      <c s="53">
        <v>100</v>
      </c>
      <c s="61" t="s">
        <v>50</v>
      </c>
      <c s="62">
        <v>100</v>
      </c>
      <c s="63"/>
      <c s="275">
        <v>100</v>
      </c>
      <c s="275"/>
      <c s="3">
        <v>65</v>
      </c>
      <c s="122">
        <f>F146*J146/1000</f>
        <v>6.5</v>
      </c>
    </row>
    <row r="148" spans="1:11" ht="15.75">
      <c r="A148" s="53"/>
      <c s="53"/>
      <c s="51" t="s">
        <v>142</v>
      </c>
      <c s="53">
        <v>40</v>
      </c>
      <c r="J148" s="3">
        <v>59.549999999999997</v>
      </c>
      <c s="122">
        <f>D148*J148/1000</f>
        <v>2.3820000000000001</v>
      </c>
    </row>
    <row r="150" spans="1:11" ht="15.75">
      <c r="A150" s="53"/>
      <c s="53"/>
      <c s="51" t="s">
        <v>141</v>
      </c>
      <c s="53">
        <v>200</v>
      </c>
      <c r="F150" s="277" t="s">
        <v>100</v>
      </c>
      <c s="277"/>
      <c s="277" t="s">
        <v>101</v>
      </c>
      <c s="277"/>
      <c r="K150" s="122">
        <f>K151+K152</f>
        <v>1.4740500000000001</v>
      </c>
    </row>
    <row r="151" spans="5:11" ht="15.75">
      <c r="E151" s="61" t="s">
        <v>8</v>
      </c>
      <c s="62">
        <v>0.59999999999999998</v>
      </c>
      <c s="63"/>
      <c s="275">
        <v>0.59999999999999998</v>
      </c>
      <c s="275"/>
      <c s="3">
        <v>650</v>
      </c>
      <c s="3">
        <f>J151*F151/1000</f>
        <v>0.39000000000000001</v>
      </c>
    </row>
    <row r="152" spans="5:11" ht="15.75">
      <c r="E152" s="64" t="s">
        <v>107</v>
      </c>
      <c s="67">
        <v>15</v>
      </c>
      <c s="68"/>
      <c s="272">
        <v>15</v>
      </c>
      <c s="274"/>
      <c s="3">
        <v>72.269999999999996</v>
      </c>
      <c s="3">
        <f>J152*F152/1000</f>
        <v>1.08405</v>
      </c>
    </row>
    <row r="153" spans="5:9" ht="15.75">
      <c r="E153" s="70" t="s">
        <v>108</v>
      </c>
      <c s="280" t="s">
        <v>109</v>
      </c>
      <c s="280"/>
      <c s="276">
        <v>200</v>
      </c>
      <c s="276"/>
    </row>
    <row r="156" spans="1:11" ht="15.75" hidden="1">
      <c r="A156" s="107" t="s">
        <v>24</v>
      </c>
      <c s="107" t="s">
        <v>71</v>
      </c>
      <c s="107"/>
      <c s="127"/>
      <c s="127"/>
      <c s="127"/>
      <c s="127"/>
      <c s="127"/>
      <c s="127"/>
      <c s="112"/>
      <c s="112"/>
    </row>
    <row r="157" spans="1:11" ht="15.75" hidden="1">
      <c r="A157" s="107" t="s">
        <v>156</v>
      </c>
      <c s="128">
        <f>K157+K159+K171+K178+K180</f>
        <v>67.155680000000004</v>
      </c>
      <c s="107" t="s">
        <v>157</v>
      </c>
      <c s="127"/>
      <c s="129" t="s">
        <v>158</v>
      </c>
      <c s="305">
        <v>102</v>
      </c>
      <c s="305"/>
      <c s="305">
        <v>100</v>
      </c>
      <c s="305"/>
      <c s="112">
        <v>105</v>
      </c>
      <c s="112">
        <f>F157*J157/1000</f>
        <v>10.710000000000001</v>
      </c>
    </row>
    <row r="158" spans="1:11" ht="15.75" hidden="1">
      <c r="A158" s="107"/>
      <c s="107"/>
      <c s="107"/>
      <c s="127"/>
      <c s="127"/>
      <c s="127"/>
      <c s="127"/>
      <c s="127"/>
      <c s="127"/>
      <c s="112"/>
      <c s="112"/>
    </row>
    <row r="159" spans="1:11" ht="15.75" hidden="1">
      <c r="A159" s="107"/>
      <c s="107"/>
      <c s="107" t="s">
        <v>159</v>
      </c>
      <c s="127">
        <v>90</v>
      </c>
      <c s="127"/>
      <c s="306" t="s">
        <v>100</v>
      </c>
      <c s="306"/>
      <c s="306" t="s">
        <v>101</v>
      </c>
      <c s="306"/>
      <c s="112"/>
      <c s="112">
        <f>SUM(K160:K168)</f>
        <v>38.222900000000003</v>
      </c>
    </row>
    <row r="160" spans="1:11" ht="15.75" hidden="1">
      <c r="A160" s="107"/>
      <c s="107"/>
      <c s="107"/>
      <c s="127"/>
      <c s="129" t="s">
        <v>145</v>
      </c>
      <c s="305">
        <f>50*H169/90</f>
        <v>50</v>
      </c>
      <c s="305"/>
      <c s="305">
        <f>42*H169/90</f>
        <v>42</v>
      </c>
      <c s="305"/>
      <c s="112">
        <v>548</v>
      </c>
      <c s="112">
        <f t="shared" si="7" ref="K160:K168">F160*J160/1000</f>
        <v>27.399999999999999</v>
      </c>
    </row>
    <row r="161" spans="1:11" ht="15.75" hidden="1">
      <c r="A161" s="107"/>
      <c s="107"/>
      <c s="107"/>
      <c s="127"/>
      <c s="130" t="s">
        <v>160</v>
      </c>
      <c s="303">
        <f>24*H169/90</f>
        <v>24</v>
      </c>
      <c s="304"/>
      <c s="303">
        <f>20*H169/90</f>
        <v>20</v>
      </c>
      <c s="304"/>
      <c s="112">
        <v>330</v>
      </c>
      <c s="112">
        <f t="shared" si="7"/>
        <v>7.9199999999999999</v>
      </c>
    </row>
    <row r="162" spans="1:11" ht="15.75" hidden="1">
      <c r="A162" s="107"/>
      <c s="107"/>
      <c s="107"/>
      <c s="127"/>
      <c s="130" t="s">
        <v>161</v>
      </c>
      <c s="303">
        <f>13.5*H169/90</f>
        <v>13.5</v>
      </c>
      <c s="304"/>
      <c s="303">
        <f>F162</f>
        <v>13.5</v>
      </c>
      <c s="304"/>
      <c s="112">
        <v>45.539999999999999</v>
      </c>
      <c s="112">
        <f t="shared" si="7"/>
        <v>0.61478999999999995</v>
      </c>
    </row>
    <row r="163" spans="1:11" ht="15.75" hidden="1">
      <c r="A163" s="107"/>
      <c s="107"/>
      <c s="107"/>
      <c s="127"/>
      <c s="130" t="s">
        <v>146</v>
      </c>
      <c s="303">
        <f>4*H169/90</f>
        <v>4</v>
      </c>
      <c s="304"/>
      <c s="303">
        <f t="shared" si="8" ref="H163:H168">F163</f>
        <v>4</v>
      </c>
      <c s="304"/>
      <c s="112">
        <v>140</v>
      </c>
      <c s="112">
        <f t="shared" si="7"/>
        <v>0.56000000000000005</v>
      </c>
    </row>
    <row r="164" spans="1:11" ht="15.75" hidden="1">
      <c r="A164" s="107"/>
      <c s="107"/>
      <c s="107"/>
      <c s="127"/>
      <c s="130" t="s">
        <v>162</v>
      </c>
      <c s="303">
        <f>3.5*H169/90</f>
        <v>3.5</v>
      </c>
      <c s="304"/>
      <c s="303">
        <f t="shared" si="8"/>
        <v>3.5</v>
      </c>
      <c s="304"/>
      <c s="112">
        <v>20</v>
      </c>
      <c s="112">
        <f t="shared" si="7"/>
        <v>0.070000000000000007</v>
      </c>
    </row>
    <row r="165" spans="1:11" ht="15.75" hidden="1">
      <c r="A165" s="107"/>
      <c s="107"/>
      <c s="107"/>
      <c s="127"/>
      <c s="130" t="s">
        <v>103</v>
      </c>
      <c s="303">
        <f>13*H169/90</f>
        <v>13</v>
      </c>
      <c s="304"/>
      <c s="303">
        <f t="shared" si="8"/>
        <v>13</v>
      </c>
      <c s="304"/>
      <c s="112">
        <v>48.170000000000002</v>
      </c>
      <c s="112">
        <f t="shared" si="7"/>
        <v>0.62621000000000004</v>
      </c>
    </row>
    <row r="166" spans="1:11" ht="15.75" hidden="1">
      <c r="A166" s="107"/>
      <c s="107"/>
      <c s="107"/>
      <c s="127"/>
      <c s="129" t="s">
        <v>118</v>
      </c>
      <c s="305">
        <f>4*H169/90</f>
        <v>4</v>
      </c>
      <c s="305"/>
      <c s="303">
        <f t="shared" si="8"/>
        <v>4</v>
      </c>
      <c s="304"/>
      <c s="112">
        <v>150</v>
      </c>
      <c s="112">
        <f t="shared" si="7"/>
        <v>0.59999999999999998</v>
      </c>
    </row>
    <row r="167" spans="1:11" ht="15.75" hidden="1">
      <c r="A167" s="107"/>
      <c s="107"/>
      <c s="107"/>
      <c s="127"/>
      <c s="129" t="s">
        <v>106</v>
      </c>
      <c s="305">
        <f>0.7*H169/90</f>
        <v>0.69999999999999996</v>
      </c>
      <c s="305"/>
      <c s="303">
        <f t="shared" si="8"/>
        <v>0.69999999999999996</v>
      </c>
      <c s="304"/>
      <c s="112">
        <v>17</v>
      </c>
      <c s="112">
        <f t="shared" si="7"/>
        <v>0.011899999999999999</v>
      </c>
    </row>
    <row r="168" spans="1:11" ht="15.75" hidden="1">
      <c r="A168" s="107"/>
      <c s="107"/>
      <c s="107"/>
      <c s="127"/>
      <c s="130" t="s">
        <v>147</v>
      </c>
      <c s="303">
        <f>3*H169/90</f>
        <v>3</v>
      </c>
      <c s="304"/>
      <c s="303">
        <f t="shared" si="8"/>
        <v>3</v>
      </c>
      <c s="304"/>
      <c s="112">
        <v>140</v>
      </c>
      <c s="112">
        <f t="shared" si="7"/>
        <v>0.41999999999999998</v>
      </c>
    </row>
    <row r="169" spans="1:11" ht="15.75" hidden="1">
      <c r="A169" s="107"/>
      <c s="107"/>
      <c s="107"/>
      <c s="127"/>
      <c s="131" t="s">
        <v>108</v>
      </c>
      <c s="300" t="s">
        <v>109</v>
      </c>
      <c s="300"/>
      <c s="301">
        <v>90</v>
      </c>
      <c s="301"/>
      <c s="112"/>
      <c s="112"/>
    </row>
    <row r="170" spans="1:11" ht="15.75" hidden="1">
      <c r="A170" s="107"/>
      <c s="107"/>
      <c s="107"/>
      <c s="127"/>
      <c s="127"/>
      <c s="127"/>
      <c s="127"/>
      <c s="127"/>
      <c s="127"/>
      <c s="112"/>
      <c s="112"/>
    </row>
    <row r="171" spans="1:11" ht="15.75" hidden="1">
      <c r="A171" s="107"/>
      <c s="107"/>
      <c s="107" t="s">
        <v>163</v>
      </c>
      <c s="127">
        <v>150</v>
      </c>
      <c s="127"/>
      <c s="306" t="s">
        <v>100</v>
      </c>
      <c s="306"/>
      <c s="306" t="s">
        <v>101</v>
      </c>
      <c s="306"/>
      <c s="112"/>
      <c s="112">
        <f>SUM(K172:K175)</f>
        <v>7.4011799999999992</v>
      </c>
    </row>
    <row r="172" spans="1:11" ht="15.75" hidden="1">
      <c r="A172" s="107"/>
      <c s="107"/>
      <c s="107"/>
      <c s="127"/>
      <c s="129" t="s">
        <v>164</v>
      </c>
      <c s="305">
        <f>170*H176/150</f>
        <v>170</v>
      </c>
      <c s="305"/>
      <c s="305">
        <f>128*H176/150</f>
        <v>128</v>
      </c>
      <c s="305"/>
      <c s="112">
        <v>27</v>
      </c>
      <c s="112">
        <f>F172*J172/1000</f>
        <v>4.5899999999999999</v>
      </c>
    </row>
    <row r="173" spans="1:11" ht="15.75" hidden="1">
      <c r="A173" s="107"/>
      <c s="107"/>
      <c s="107"/>
      <c s="127"/>
      <c s="130" t="s">
        <v>103</v>
      </c>
      <c s="303">
        <f>24*H176/150</f>
        <v>24</v>
      </c>
      <c s="304"/>
      <c s="303">
        <f>24*H176/150</f>
        <v>24</v>
      </c>
      <c s="304"/>
      <c s="112">
        <v>48.170000000000002</v>
      </c>
      <c s="112">
        <f>F173*J173/1000</f>
        <v>1.15608</v>
      </c>
    </row>
    <row r="174" spans="1:11" ht="15.75" hidden="1">
      <c r="A174" s="107"/>
      <c s="107"/>
      <c s="107"/>
      <c s="127"/>
      <c s="130" t="s">
        <v>105</v>
      </c>
      <c s="303">
        <f>3*H176/150</f>
        <v>3</v>
      </c>
      <c s="304"/>
      <c s="303">
        <f>3*H176/150</f>
        <v>3</v>
      </c>
      <c s="304"/>
      <c s="112">
        <v>550</v>
      </c>
      <c s="112">
        <f>F174*J174/1000</f>
        <v>1.6499999999999999</v>
      </c>
    </row>
    <row r="175" spans="1:11" ht="15.75" hidden="1">
      <c r="A175" s="107"/>
      <c s="107"/>
      <c s="107"/>
      <c s="127"/>
      <c s="129" t="s">
        <v>106</v>
      </c>
      <c s="305">
        <f>0.3*H176/150</f>
        <v>0.29999999999999999</v>
      </c>
      <c s="305"/>
      <c s="305">
        <f>0.3*H176/150</f>
        <v>0.29999999999999999</v>
      </c>
      <c s="305"/>
      <c s="112">
        <v>17</v>
      </c>
      <c s="112">
        <f>F175*J175/1000</f>
        <v>0.0050999999999999995</v>
      </c>
    </row>
    <row r="176" spans="1:11" ht="15.75" hidden="1">
      <c r="A176" s="107"/>
      <c s="107"/>
      <c s="107"/>
      <c s="127"/>
      <c s="131" t="s">
        <v>108</v>
      </c>
      <c s="300" t="s">
        <v>109</v>
      </c>
      <c s="300"/>
      <c s="301">
        <v>150</v>
      </c>
      <c s="301"/>
      <c s="112"/>
      <c s="112"/>
    </row>
    <row r="177" spans="1:11" ht="15.75" hidden="1">
      <c r="A177" s="107"/>
      <c s="107"/>
      <c s="107"/>
      <c s="127"/>
      <c s="127"/>
      <c s="127"/>
      <c s="127"/>
      <c s="127"/>
      <c s="127"/>
      <c s="112"/>
      <c s="112"/>
    </row>
    <row r="178" spans="1:11" ht="15.75" hidden="1">
      <c r="A178" s="107"/>
      <c s="107"/>
      <c s="107" t="s">
        <v>165</v>
      </c>
      <c s="127">
        <v>200</v>
      </c>
      <c s="129" t="s">
        <v>166</v>
      </c>
      <c s="302">
        <v>200</v>
      </c>
      <c s="302"/>
      <c s="302">
        <v>200</v>
      </c>
      <c s="302"/>
      <c s="112">
        <v>45</v>
      </c>
      <c s="112">
        <f>F178*J178/1000</f>
        <v>9</v>
      </c>
    </row>
    <row r="179" spans="1:11" ht="15.75" hidden="1">
      <c r="A179" s="107"/>
      <c s="107"/>
      <c s="107"/>
      <c s="127"/>
      <c s="127"/>
      <c s="127"/>
      <c s="127"/>
      <c s="127"/>
      <c s="127"/>
      <c s="112"/>
      <c s="112"/>
    </row>
    <row r="180" spans="1:11" ht="15.75" hidden="1">
      <c r="A180" s="107"/>
      <c s="107"/>
      <c s="107" t="s">
        <v>112</v>
      </c>
      <c s="127">
        <v>40</v>
      </c>
      <c s="127"/>
      <c s="127"/>
      <c s="127"/>
      <c s="127"/>
      <c s="127"/>
      <c s="112">
        <v>45.539999999999999</v>
      </c>
      <c s="112">
        <f>D180*J180/1000</f>
        <v>1.8215999999999999</v>
      </c>
    </row>
    <row r="181" spans="1:26" ht="16.5" thickBot="1">
      <c r="A181" s="81"/>
      <c s="81"/>
      <c s="81"/>
      <c s="82"/>
      <c s="82"/>
      <c s="82"/>
      <c s="82"/>
      <c s="82"/>
      <c s="82"/>
      <c s="83"/>
      <c s="83"/>
      <c s="82"/>
      <c s="82"/>
      <c s="82"/>
      <c s="82"/>
      <c s="82"/>
      <c s="82"/>
      <c s="82"/>
      <c s="82"/>
      <c s="82"/>
      <c s="82"/>
      <c s="82"/>
      <c s="82"/>
      <c s="82"/>
      <c s="82"/>
      <c s="82"/>
    </row>
    <row r="182" spans="1:2" ht="15.75">
      <c r="A182" s="51">
        <v>6</v>
      </c>
      <c s="51" t="s">
        <v>71</v>
      </c>
    </row>
    <row r="183" spans="1:11" ht="15.75">
      <c r="A183" s="53" t="s">
        <v>95</v>
      </c>
      <c s="132">
        <f>K183+K185+K187+K195+K202</f>
        <v>53.598919999999993</v>
      </c>
      <c s="51" t="s">
        <v>167</v>
      </c>
      <c s="53">
        <v>100</v>
      </c>
      <c s="61" t="s">
        <v>168</v>
      </c>
      <c s="133">
        <v>100</v>
      </c>
      <c s="134"/>
      <c s="275">
        <v>100</v>
      </c>
      <c s="275"/>
      <c s="3">
        <v>140</v>
      </c>
      <c s="135">
        <f>F183*J183/1000</f>
        <v>14</v>
      </c>
    </row>
    <row r="184" spans="2:2" ht="15.75">
      <c r="B184" s="51">
        <f>D183+D185+D187+D195+D202</f>
        <v>560</v>
      </c>
    </row>
    <row r="185" spans="1:11" ht="15.75">
      <c r="A185" s="53"/>
      <c r="C185" s="51" t="s">
        <v>169</v>
      </c>
      <c s="53">
        <v>20</v>
      </c>
      <c s="61" t="s">
        <v>170</v>
      </c>
      <c s="133">
        <v>21</v>
      </c>
      <c s="134"/>
      <c s="275">
        <v>20</v>
      </c>
      <c s="275"/>
      <c s="3">
        <v>498</v>
      </c>
      <c s="135">
        <f>F185*J185/1000</f>
        <v>10.458</v>
      </c>
    </row>
    <row r="187" spans="1:11" ht="15.75">
      <c r="A187" s="53"/>
      <c r="C187" s="51" t="s">
        <v>171</v>
      </c>
      <c s="53">
        <v>200</v>
      </c>
      <c r="F187" s="136" t="s">
        <v>100</v>
      </c>
      <c s="137"/>
      <c s="277" t="s">
        <v>101</v>
      </c>
      <c s="277"/>
      <c r="K187" s="135">
        <f>SUM(K188:K192)</f>
        <v>19.177870000000002</v>
      </c>
    </row>
    <row r="188" spans="1:11" ht="15.75">
      <c r="A188" s="53"/>
      <c r="E188" s="61" t="s">
        <v>36</v>
      </c>
      <c s="62">
        <f>50*H193/200</f>
        <v>50</v>
      </c>
      <c s="63"/>
      <c s="275">
        <f>F188</f>
        <v>50</v>
      </c>
      <c s="275"/>
      <c s="3">
        <v>95</v>
      </c>
      <c s="3">
        <f>F188*J188/1000</f>
        <v>4.75</v>
      </c>
    </row>
    <row r="189" spans="1:11" ht="15.75">
      <c r="A189" s="53"/>
      <c r="E189" s="64" t="s">
        <v>103</v>
      </c>
      <c s="65">
        <f>200*H193/200</f>
        <v>200</v>
      </c>
      <c s="66"/>
      <c s="272">
        <f>F189</f>
        <v>200</v>
      </c>
      <c s="274"/>
      <c s="3">
        <v>57.5</v>
      </c>
      <c s="3">
        <f>F189*J189/1000</f>
        <v>11.5</v>
      </c>
    </row>
    <row r="190" spans="1:11" ht="15.75">
      <c r="A190" s="53"/>
      <c r="E190" s="64" t="s">
        <v>107</v>
      </c>
      <c s="65">
        <f>6*H193/200</f>
        <v>6</v>
      </c>
      <c s="66"/>
      <c s="272">
        <f>F190</f>
        <v>6</v>
      </c>
      <c s="274"/>
      <c s="3">
        <v>72.269999999999996</v>
      </c>
      <c s="3">
        <f>F190*J190/1000</f>
        <v>0.43362000000000001</v>
      </c>
    </row>
    <row r="191" spans="1:11" ht="15.75">
      <c r="A191" s="53"/>
      <c r="E191" s="64" t="s">
        <v>105</v>
      </c>
      <c s="65">
        <f>5*H193/200</f>
        <v>5</v>
      </c>
      <c s="66"/>
      <c s="272">
        <f>F191</f>
        <v>5</v>
      </c>
      <c s="274"/>
      <c s="3">
        <v>497.14999999999998</v>
      </c>
      <c s="3">
        <f>F191*J191/1000</f>
        <v>2.4857499999999999</v>
      </c>
    </row>
    <row r="192" spans="1:11" ht="15.75">
      <c r="A192" s="53"/>
      <c r="E192" s="61" t="s">
        <v>106</v>
      </c>
      <c s="67">
        <f>0.5*H193/200</f>
        <v>0.5</v>
      </c>
      <c s="68"/>
      <c s="275">
        <f>F192</f>
        <v>0.5</v>
      </c>
      <c s="275"/>
      <c s="3">
        <v>17</v>
      </c>
      <c s="3">
        <f>F192*J192/1000</f>
        <v>0.0085000000000000006</v>
      </c>
    </row>
    <row r="193" spans="1:10" ht="15.75">
      <c r="A193" s="53"/>
      <c r="E193" s="70" t="s">
        <v>108</v>
      </c>
      <c s="117" t="s">
        <v>109</v>
      </c>
      <c s="118"/>
      <c s="276">
        <v>200</v>
      </c>
      <c s="276"/>
      <c s="3" t="s">
        <v>172</v>
      </c>
    </row>
    <row r="195" spans="1:11" ht="15.75">
      <c r="A195" s="53"/>
      <c r="C195" s="51" t="s">
        <v>130</v>
      </c>
      <c s="53">
        <v>200</v>
      </c>
      <c r="F195" s="136" t="s">
        <v>100</v>
      </c>
      <c s="137"/>
      <c s="277" t="s">
        <v>101</v>
      </c>
      <c s="277"/>
      <c r="K195" s="135">
        <f>SUM(K196:K199)</f>
        <v>7.5810500000000003</v>
      </c>
    </row>
    <row r="196" spans="1:11" ht="15.75">
      <c r="A196" s="53"/>
      <c r="E196" s="61" t="s">
        <v>131</v>
      </c>
      <c s="62">
        <v>4</v>
      </c>
      <c s="63"/>
      <c s="275">
        <v>4</v>
      </c>
      <c s="275"/>
      <c s="3">
        <v>420</v>
      </c>
      <c s="3">
        <f>J196*F196/1000</f>
        <v>1.6799999999999999</v>
      </c>
    </row>
    <row r="197" spans="1:11" ht="15.75">
      <c r="A197" s="53"/>
      <c r="E197" s="64" t="s">
        <v>107</v>
      </c>
      <c s="65">
        <v>15</v>
      </c>
      <c s="66"/>
      <c s="272">
        <v>15</v>
      </c>
      <c s="274"/>
      <c s="3">
        <v>72.269999999999996</v>
      </c>
      <c s="3">
        <f>J197*F197/1000</f>
        <v>1.08405</v>
      </c>
    </row>
    <row r="198" spans="1:11" ht="15.75">
      <c r="A198" s="53"/>
      <c r="E198" s="64" t="s">
        <v>65</v>
      </c>
      <c s="65">
        <v>100</v>
      </c>
      <c s="66"/>
      <c s="272">
        <v>100</v>
      </c>
      <c s="274"/>
      <c s="3">
        <v>48.170000000000002</v>
      </c>
      <c s="3">
        <f>J198*F198/1000</f>
        <v>4.8170000000000002</v>
      </c>
    </row>
    <row r="199" spans="5:11" ht="15.75">
      <c r="E199" s="64" t="s">
        <v>104</v>
      </c>
      <c s="67">
        <v>81</v>
      </c>
      <c s="68"/>
      <c s="272">
        <v>81</v>
      </c>
      <c s="274"/>
      <c s="3">
        <v>0</v>
      </c>
      <c s="3">
        <f>J199*F199/1000</f>
        <v>0</v>
      </c>
    </row>
    <row r="200" spans="5:9" ht="15.75">
      <c r="E200" s="70" t="s">
        <v>108</v>
      </c>
      <c s="117" t="s">
        <v>109</v>
      </c>
      <c s="118"/>
      <c s="276">
        <v>200</v>
      </c>
      <c s="276"/>
    </row>
    <row r="202" spans="3:11" ht="15.75">
      <c r="C202" s="51" t="s">
        <v>142</v>
      </c>
      <c s="53">
        <v>40</v>
      </c>
      <c r="J202" s="3">
        <v>59.549999999999997</v>
      </c>
      <c s="135">
        <f>D202*J202/1000</f>
        <v>2.3820000000000001</v>
      </c>
    </row>
    <row r="203" spans="1:26" ht="16.5" thickBot="1">
      <c r="A203" s="81"/>
      <c s="81"/>
      <c s="81"/>
      <c s="82"/>
      <c s="82"/>
      <c s="82"/>
      <c s="82"/>
      <c s="82"/>
      <c s="82"/>
      <c s="83"/>
      <c s="83"/>
      <c s="82"/>
      <c s="82"/>
      <c s="82"/>
      <c s="82"/>
      <c s="82"/>
      <c s="82"/>
      <c s="82"/>
      <c s="82"/>
      <c s="82"/>
      <c s="82"/>
      <c s="82"/>
      <c s="82"/>
      <c s="82"/>
      <c s="82"/>
      <c s="82"/>
    </row>
    <row r="204" spans="1:11" ht="15.75">
      <c r="A204" s="51">
        <v>7</v>
      </c>
      <c s="51" t="s">
        <v>71</v>
      </c>
      <c s="86"/>
      <c s="87">
        <v>100</v>
      </c>
      <c s="246" t="s">
        <v>342</v>
      </c>
      <c s="338">
        <v>100</v>
      </c>
      <c s="338"/>
      <c s="87"/>
      <c s="87"/>
      <c s="31">
        <v>65</v>
      </c>
      <c s="114">
        <f>F204*J204/1000</f>
        <v>6.5</v>
      </c>
    </row>
    <row r="205" spans="1:2" ht="15.75">
      <c r="A205" s="51" t="s">
        <v>113</v>
      </c>
      <c s="138">
        <f>K204+K206+K220+K228+K233</f>
        <v>54.430584500000002</v>
      </c>
    </row>
    <row r="206" spans="2:11" ht="15.75">
      <c r="B206" s="51">
        <f>D204+D206+D220+D228+D233</f>
        <v>580</v>
      </c>
      <c s="90" t="s">
        <v>177</v>
      </c>
      <c s="53">
        <v>90</v>
      </c>
      <c r="F206" s="288" t="s">
        <v>100</v>
      </c>
      <c s="277"/>
      <c s="288" t="s">
        <v>101</v>
      </c>
      <c s="277"/>
      <c r="K206" s="139">
        <f>SUM(K207:K217)</f>
        <v>40.078084500000003</v>
      </c>
    </row>
    <row r="207" spans="1:11" ht="15.75">
      <c r="A207" s="51">
        <f>D204+D206+D220+D228+D233</f>
        <v>580</v>
      </c>
      <c s="52"/>
      <c r="E207" s="91" t="s">
        <v>115</v>
      </c>
      <c s="140">
        <v>65.700000000000003</v>
      </c>
      <c s="141"/>
      <c s="298">
        <v>46.799999999999997</v>
      </c>
      <c s="299"/>
      <c s="3">
        <v>548</v>
      </c>
      <c s="3">
        <f>F207*J207/1000</f>
        <v>36.003599999999999</v>
      </c>
    </row>
    <row r="208" spans="1:11" ht="15.75">
      <c r="A208" s="53"/>
      <c s="53"/>
      <c r="E208" s="91" t="s">
        <v>117</v>
      </c>
      <c s="142">
        <v>9.4499999999999993</v>
      </c>
      <c s="143"/>
      <c s="293">
        <v>9.4499999999999993</v>
      </c>
      <c s="294"/>
      <c s="3">
        <v>50.090000000000003</v>
      </c>
      <c s="3">
        <f>F208*J208/1000</f>
        <v>0.47335050000000001</v>
      </c>
    </row>
    <row r="209" spans="1:11" ht="15.75">
      <c r="A209" s="53"/>
      <c s="53"/>
      <c r="E209" s="91" t="s">
        <v>104</v>
      </c>
      <c s="142">
        <v>16.379999999999999</v>
      </c>
      <c s="143"/>
      <c s="293">
        <v>16.379999999999999</v>
      </c>
      <c s="294"/>
      <c s="3">
        <v>0</v>
      </c>
      <c s="3">
        <f>F209*J209/1000</f>
        <v>0</v>
      </c>
    </row>
    <row r="210" spans="1:11" ht="15.75">
      <c r="A210" s="53"/>
      <c s="53"/>
      <c r="E210" s="91" t="s">
        <v>105</v>
      </c>
      <c s="142">
        <v>1.8</v>
      </c>
      <c s="143"/>
      <c s="293">
        <v>1.8</v>
      </c>
      <c s="294"/>
      <c s="3">
        <v>497.14999999999998</v>
      </c>
      <c s="3">
        <f>F210*J210/1000</f>
        <v>0.89487000000000005</v>
      </c>
    </row>
    <row r="211" spans="1:9" ht="15.75">
      <c r="A211" s="53"/>
      <c s="53"/>
      <c r="E211" s="91" t="s">
        <v>119</v>
      </c>
      <c s="144" t="s">
        <v>109</v>
      </c>
      <c s="145"/>
      <c s="295">
        <v>73.799999999999997</v>
      </c>
      <c s="296"/>
    </row>
    <row r="212" spans="1:9" ht="25.5">
      <c r="A212" s="53"/>
      <c s="53"/>
      <c r="E212" s="140" t="s">
        <v>178</v>
      </c>
      <c s="91" t="s">
        <v>109</v>
      </c>
      <c s="92"/>
      <c s="290">
        <v>27</v>
      </c>
      <c s="291"/>
    </row>
    <row r="213" spans="1:11" ht="15.75">
      <c r="A213" s="53"/>
      <c s="53"/>
      <c r="E213" s="91" t="s">
        <v>103</v>
      </c>
      <c s="91">
        <v>27</v>
      </c>
      <c s="92"/>
      <c s="290">
        <v>27</v>
      </c>
      <c s="291"/>
      <c s="3">
        <v>57.5</v>
      </c>
      <c s="3">
        <f>F213*J213/1000</f>
        <v>1.5525</v>
      </c>
    </row>
    <row r="214" spans="1:11" ht="15.75">
      <c r="A214" s="53"/>
      <c s="53"/>
      <c r="E214" s="91" t="s">
        <v>34</v>
      </c>
      <c s="91">
        <v>2.1600000000000001</v>
      </c>
      <c s="92"/>
      <c s="290">
        <v>2.1600000000000001</v>
      </c>
      <c s="291"/>
      <c s="3">
        <v>37</v>
      </c>
      <c s="3">
        <f>F214*J214/1000</f>
        <v>0.079920000000000005</v>
      </c>
    </row>
    <row r="215" spans="1:11" ht="15.75">
      <c r="A215" s="53"/>
      <c s="53"/>
      <c r="E215" s="91" t="s">
        <v>105</v>
      </c>
      <c s="91">
        <v>2.1600000000000001</v>
      </c>
      <c s="92"/>
      <c s="290">
        <v>2.1600000000000001</v>
      </c>
      <c s="291"/>
      <c s="3">
        <v>497.14999999999998</v>
      </c>
      <c s="3">
        <f>F215*J215/1000</f>
        <v>1.073844</v>
      </c>
    </row>
    <row r="216" spans="1:11" ht="15.75">
      <c r="A216" s="53"/>
      <c s="53"/>
      <c r="E216" s="97" t="s">
        <v>127</v>
      </c>
      <c s="292">
        <v>90</v>
      </c>
      <c s="292"/>
      <c s="292"/>
      <c s="292"/>
      <c r="K216" s="3">
        <f>F216*J216/1000</f>
        <v>0</v>
      </c>
    </row>
    <row r="217" spans="1:11" ht="15.75">
      <c r="A217" s="53"/>
      <c s="53"/>
      <c r="E217" s="61"/>
      <c s="146"/>
      <c s="146"/>
      <c s="147"/>
      <c s="148"/>
      <c r="K217" s="3">
        <f>F217*J217/1000</f>
        <v>0</v>
      </c>
    </row>
    <row r="218" spans="1:9" ht="15.75">
      <c r="A218" s="53"/>
      <c s="53"/>
      <c r="E218" s="70"/>
      <c s="146"/>
      <c s="146"/>
      <c s="117"/>
      <c s="118"/>
    </row>
    <row r="220" spans="1:11" ht="15.75">
      <c r="A220" s="53"/>
      <c s="53"/>
      <c s="51" t="s">
        <v>179</v>
      </c>
      <c s="53">
        <v>150</v>
      </c>
      <c r="F220" s="277" t="s">
        <v>100</v>
      </c>
      <c s="277"/>
      <c s="277" t="s">
        <v>101</v>
      </c>
      <c s="277"/>
      <c r="K220" s="139">
        <f>SUM(K221:K225)</f>
        <v>4.4648500000000002</v>
      </c>
    </row>
    <row r="221" spans="1:11" ht="15.75">
      <c r="A221" s="53"/>
      <c s="53"/>
      <c r="E221" s="61" t="s">
        <v>129</v>
      </c>
      <c s="62">
        <v>16</v>
      </c>
      <c s="63"/>
      <c s="275">
        <v>16</v>
      </c>
      <c s="275"/>
      <c s="3">
        <v>84</v>
      </c>
      <c s="3">
        <f>F221*J221/1000</f>
        <v>1.3440000000000001</v>
      </c>
    </row>
    <row r="222" spans="5:11" ht="15.75">
      <c r="E222" s="64" t="s">
        <v>104</v>
      </c>
      <c s="65">
        <v>120</v>
      </c>
      <c s="66"/>
      <c s="272">
        <v>120</v>
      </c>
      <c s="274"/>
      <c s="3">
        <v>0</v>
      </c>
      <c s="3">
        <f>F222*J222/1000</f>
        <v>0</v>
      </c>
    </row>
    <row r="223" spans="5:11" ht="15.75">
      <c r="E223" s="61" t="s">
        <v>180</v>
      </c>
      <c s="65">
        <v>18</v>
      </c>
      <c s="66"/>
      <c s="275">
        <v>18</v>
      </c>
      <c s="275"/>
      <c s="3">
        <v>35</v>
      </c>
      <c s="3">
        <f>F223*J223/1000</f>
        <v>0.63</v>
      </c>
    </row>
    <row r="224" spans="5:11" ht="15.75">
      <c r="E224" s="61" t="s">
        <v>106</v>
      </c>
      <c s="65">
        <v>0.29999999999999999</v>
      </c>
      <c s="66"/>
      <c s="275">
        <v>0.29999999999999999</v>
      </c>
      <c s="275"/>
      <c s="3">
        <v>17</v>
      </c>
      <c s="3">
        <f>F224*J224/1000</f>
        <v>0.0050999999999999995</v>
      </c>
    </row>
    <row r="225" spans="5:11" ht="15.75">
      <c r="E225" s="61" t="s">
        <v>105</v>
      </c>
      <c s="67">
        <v>5</v>
      </c>
      <c s="68"/>
      <c s="275">
        <v>5</v>
      </c>
      <c s="275"/>
      <c s="3">
        <v>497.14999999999998</v>
      </c>
      <c s="3">
        <f>F225*J225/1000</f>
        <v>2.4857499999999999</v>
      </c>
    </row>
    <row r="226" spans="5:9" ht="15.75">
      <c r="E226" s="70" t="s">
        <v>108</v>
      </c>
      <c s="117" t="s">
        <v>109</v>
      </c>
      <c s="118"/>
      <c s="276">
        <v>150</v>
      </c>
      <c s="276"/>
    </row>
    <row r="228" spans="3:11" ht="15.75">
      <c r="C228" s="51" t="s">
        <v>141</v>
      </c>
      <c s="53">
        <v>200</v>
      </c>
      <c r="F228" s="136" t="s">
        <v>100</v>
      </c>
      <c s="137"/>
      <c s="277" t="s">
        <v>101</v>
      </c>
      <c s="277"/>
      <c r="K228" s="139">
        <f>K229+K230</f>
        <v>1.38405</v>
      </c>
    </row>
    <row r="229" spans="5:11" ht="15.75">
      <c r="E229" s="61" t="s">
        <v>8</v>
      </c>
      <c s="62">
        <v>0.59999999999999998</v>
      </c>
      <c s="63"/>
      <c s="275">
        <v>0.59999999999999998</v>
      </c>
      <c s="275"/>
      <c s="3">
        <v>500</v>
      </c>
      <c s="3">
        <f>J229*F229/1000</f>
        <v>0.29999999999999999</v>
      </c>
    </row>
    <row r="230" spans="5:11" ht="15.75">
      <c r="E230" s="64" t="s">
        <v>107</v>
      </c>
      <c s="67">
        <v>15</v>
      </c>
      <c s="68"/>
      <c s="272">
        <v>15</v>
      </c>
      <c s="274"/>
      <c s="3">
        <v>72.269999999999996</v>
      </c>
      <c s="3">
        <f>J230*F230/1000</f>
        <v>1.08405</v>
      </c>
    </row>
    <row r="231" spans="5:9" ht="15.75">
      <c r="E231" s="70" t="s">
        <v>108</v>
      </c>
      <c s="117" t="s">
        <v>109</v>
      </c>
      <c s="118"/>
      <c s="276">
        <v>200</v>
      </c>
      <c s="276"/>
    </row>
    <row r="233" spans="3:11" ht="15.75">
      <c r="C233" s="51" t="s">
        <v>112</v>
      </c>
      <c s="53">
        <v>40</v>
      </c>
      <c r="J233" s="3">
        <v>50.090000000000003</v>
      </c>
      <c s="139">
        <f>D233*J233/1000</f>
        <v>2.0036</v>
      </c>
    </row>
    <row r="234" spans="1:26" ht="16.5" thickBot="1">
      <c r="A234" s="81"/>
      <c s="81"/>
      <c s="81"/>
      <c s="82"/>
      <c s="82"/>
      <c s="82"/>
      <c s="82"/>
      <c s="82"/>
      <c s="82"/>
      <c s="83"/>
      <c s="83"/>
      <c s="82"/>
      <c s="82"/>
      <c s="82"/>
      <c s="82"/>
      <c s="82"/>
      <c s="82"/>
      <c s="82"/>
      <c s="82"/>
      <c s="82"/>
      <c s="82"/>
      <c s="82"/>
      <c s="82"/>
      <c s="82"/>
      <c s="82"/>
      <c s="82"/>
    </row>
    <row r="235" spans="1:2" ht="15.75">
      <c r="A235" s="51">
        <v>8</v>
      </c>
      <c s="51" t="s">
        <v>71</v>
      </c>
    </row>
    <row r="236" spans="1:11" ht="15.75">
      <c r="A236" s="51" t="s">
        <v>132</v>
      </c>
      <c s="149">
        <f>K236+K238+K242+K254+K260</f>
        <v>53.416423157894734</v>
      </c>
      <c r="J236" s="114"/>
      <c s="115"/>
    </row>
    <row r="237" spans="2:2" ht="15.75">
      <c r="B237" s="51">
        <f>D236+D238+D242+D254+D260</f>
        <v>440</v>
      </c>
    </row>
    <row r="238" spans="1:11" ht="15.75">
      <c r="A238" s="53"/>
      <c s="53"/>
      <c s="51" t="s">
        <v>136</v>
      </c>
      <c s="53">
        <v>30</v>
      </c>
      <c r="F238" s="150" t="s">
        <v>100</v>
      </c>
      <c s="150" t="s">
        <v>101</v>
      </c>
      <c r="K238" s="115">
        <f>K239</f>
        <v>7.7652631578947364</v>
      </c>
    </row>
    <row r="239" spans="1:11" ht="15.75">
      <c r="A239" s="53"/>
      <c s="53"/>
      <c r="E239" s="151" t="s">
        <v>136</v>
      </c>
      <c s="152">
        <v>30</v>
      </c>
      <c s="152">
        <f t="shared" si="9" ref="G239">F239</f>
        <v>30</v>
      </c>
      <c r="J239" s="31">
        <v>98.359999999999999</v>
      </c>
      <c s="3">
        <f>J239/380*F239</f>
        <v>7.7652631578947364</v>
      </c>
    </row>
    <row r="240" spans="1:7" ht="15.75">
      <c r="A240" s="53"/>
      <c s="53"/>
      <c r="E240" s="153" t="s">
        <v>108</v>
      </c>
      <c s="154" t="s">
        <v>109</v>
      </c>
      <c s="155">
        <v>30</v>
      </c>
    </row>
    <row r="242" spans="1:11" ht="15.75">
      <c r="A242" s="53"/>
      <c s="53"/>
      <c s="51" t="s">
        <v>181</v>
      </c>
      <c s="53">
        <v>170</v>
      </c>
      <c r="F242" s="277" t="s">
        <v>100</v>
      </c>
      <c s="277"/>
      <c s="277" t="s">
        <v>101</v>
      </c>
      <c s="277"/>
      <c r="K242" s="115">
        <f>SUM(K243:K251)</f>
        <v>41.795110000000001</v>
      </c>
    </row>
    <row r="243" spans="1:11" ht="15.75">
      <c r="A243" s="53"/>
      <c s="53"/>
      <c r="E243" s="61" t="s">
        <v>182</v>
      </c>
      <c s="156">
        <f>134*H252/170</f>
        <v>134</v>
      </c>
      <c s="157"/>
      <c s="289">
        <f>F243</f>
        <v>134</v>
      </c>
      <c s="289"/>
      <c s="3">
        <v>260</v>
      </c>
      <c s="3">
        <f t="shared" si="10" ref="K243:K251">J243*F243/1000</f>
        <v>34.840000000000003</v>
      </c>
    </row>
    <row r="244" spans="1:11" ht="15.75">
      <c r="A244" s="53"/>
      <c s="53"/>
      <c r="E244" s="64" t="s">
        <v>129</v>
      </c>
      <c s="158">
        <f>18*H252/170</f>
        <v>18</v>
      </c>
      <c s="159"/>
      <c s="289">
        <f t="shared" si="11" ref="H244:H251">F244</f>
        <v>18</v>
      </c>
      <c s="289"/>
      <c s="3">
        <v>84</v>
      </c>
      <c s="3">
        <f t="shared" si="10"/>
        <v>1.512</v>
      </c>
    </row>
    <row r="245" spans="1:11" ht="15.75">
      <c r="A245" s="53"/>
      <c s="53"/>
      <c r="E245" s="64" t="s">
        <v>103</v>
      </c>
      <c s="158">
        <f>40*H252/170</f>
        <v>40</v>
      </c>
      <c s="159"/>
      <c s="289">
        <f t="shared" si="11"/>
        <v>40</v>
      </c>
      <c s="289"/>
      <c s="3">
        <v>57.5</v>
      </c>
      <c s="3">
        <f t="shared" si="10"/>
        <v>2.2999999999999998</v>
      </c>
    </row>
    <row r="246" spans="1:11" ht="15.75">
      <c r="A246" s="53"/>
      <c s="53"/>
      <c r="E246" s="64" t="s">
        <v>140</v>
      </c>
      <c s="158">
        <f>0.02*H252/170</f>
        <v>0.02</v>
      </c>
      <c s="159"/>
      <c s="289">
        <f t="shared" si="11"/>
        <v>0.02</v>
      </c>
      <c s="289"/>
      <c s="3">
        <v>1200</v>
      </c>
      <c s="3">
        <f t="shared" si="10"/>
        <v>0.024</v>
      </c>
    </row>
    <row r="247" spans="1:11" ht="15.75">
      <c r="A247" s="53"/>
      <c s="53"/>
      <c r="E247" s="64" t="s">
        <v>154</v>
      </c>
      <c s="158">
        <f>9*H252/170</f>
        <v>9</v>
      </c>
      <c s="159"/>
      <c s="289">
        <f t="shared" si="11"/>
        <v>9</v>
      </c>
      <c s="289"/>
      <c s="3">
        <v>140</v>
      </c>
      <c s="3">
        <f t="shared" si="10"/>
        <v>1.26</v>
      </c>
    </row>
    <row r="248" spans="1:11" ht="15.75">
      <c r="A248" s="53"/>
      <c s="53"/>
      <c r="E248" s="64" t="s">
        <v>107</v>
      </c>
      <c s="158">
        <f>3*H252/170</f>
        <v>3</v>
      </c>
      <c s="159"/>
      <c s="289">
        <f t="shared" si="11"/>
        <v>3</v>
      </c>
      <c s="289"/>
      <c s="3">
        <v>72.269999999999996</v>
      </c>
      <c s="3">
        <f t="shared" si="10"/>
        <v>0.21681</v>
      </c>
    </row>
    <row r="249" spans="1:11" ht="15.75">
      <c r="A249" s="53"/>
      <c s="53"/>
      <c r="E249" s="64" t="s">
        <v>118</v>
      </c>
      <c s="158">
        <f>1.5*H252/170</f>
        <v>1.5</v>
      </c>
      <c s="159"/>
      <c s="289">
        <f t="shared" si="11"/>
        <v>1.5</v>
      </c>
      <c s="289"/>
      <c s="3">
        <v>200</v>
      </c>
      <c s="3">
        <f t="shared" si="10"/>
        <v>0.29999999999999999</v>
      </c>
    </row>
    <row r="250" spans="1:11" ht="15.75">
      <c r="A250" s="53"/>
      <c s="53"/>
      <c r="E250" s="64" t="s">
        <v>4</v>
      </c>
      <c s="158">
        <f>2*H252/170</f>
        <v>2</v>
      </c>
      <c s="159"/>
      <c s="289">
        <f t="shared" si="11"/>
        <v>2</v>
      </c>
      <c s="289"/>
      <c s="3">
        <v>174</v>
      </c>
      <c s="3">
        <f t="shared" si="10"/>
        <v>0.34799999999999998</v>
      </c>
    </row>
    <row r="251" spans="1:11" ht="15.75">
      <c r="A251" s="53"/>
      <c s="53"/>
      <c r="E251" s="64" t="s">
        <v>105</v>
      </c>
      <c s="160">
        <f>2*H252/170</f>
        <v>2</v>
      </c>
      <c s="161"/>
      <c s="289">
        <f t="shared" si="11"/>
        <v>2</v>
      </c>
      <c s="289"/>
      <c s="3">
        <v>497.14999999999998</v>
      </c>
      <c s="3">
        <f t="shared" si="10"/>
        <v>0.99429999999999996</v>
      </c>
    </row>
    <row r="252" spans="1:9" ht="15.75">
      <c r="A252" s="53"/>
      <c s="53"/>
      <c r="E252" s="70" t="s">
        <v>108</v>
      </c>
      <c s="117" t="s">
        <v>109</v>
      </c>
      <c s="118"/>
      <c s="276">
        <v>170</v>
      </c>
      <c s="276"/>
    </row>
    <row r="254" spans="3:11" ht="15.75">
      <c r="C254" s="51" t="s">
        <v>141</v>
      </c>
      <c s="53">
        <v>200</v>
      </c>
      <c r="F254" s="136" t="s">
        <v>100</v>
      </c>
      <c s="137"/>
      <c s="277" t="s">
        <v>101</v>
      </c>
      <c s="277"/>
      <c r="K254" s="139">
        <f>K255+K256</f>
        <v>1.4740500000000001</v>
      </c>
    </row>
    <row r="255" spans="5:11" ht="15.75">
      <c r="E255" s="61" t="s">
        <v>8</v>
      </c>
      <c s="62">
        <v>0.59999999999999998</v>
      </c>
      <c s="63"/>
      <c s="275">
        <v>0.59999999999999998</v>
      </c>
      <c s="275"/>
      <c s="3">
        <v>650</v>
      </c>
      <c s="3">
        <f>J255*F255/1000</f>
        <v>0.39000000000000001</v>
      </c>
    </row>
    <row r="256" spans="5:11" ht="15.75">
      <c r="E256" s="64" t="s">
        <v>107</v>
      </c>
      <c s="67">
        <v>15</v>
      </c>
      <c s="68"/>
      <c s="272">
        <v>15</v>
      </c>
      <c s="274"/>
      <c s="3">
        <v>72.269999999999996</v>
      </c>
      <c s="3">
        <f>J256*F256/1000</f>
        <v>1.08405</v>
      </c>
    </row>
    <row r="257" spans="5:9" ht="15.75">
      <c r="E257" s="70" t="s">
        <v>108</v>
      </c>
      <c s="117" t="s">
        <v>109</v>
      </c>
      <c s="118"/>
      <c s="276">
        <v>200</v>
      </c>
      <c s="276"/>
    </row>
    <row r="258" spans="5:9" ht="15.75">
      <c r="E258" s="70"/>
      <c s="280"/>
      <c s="280"/>
      <c s="280"/>
      <c s="280"/>
    </row>
    <row r="260" spans="3:11" ht="15.75">
      <c r="C260" s="51" t="s">
        <v>142</v>
      </c>
      <c s="53">
        <v>40</v>
      </c>
      <c r="J260" s="3">
        <v>59.549999999999997</v>
      </c>
      <c s="115">
        <f>D260*J260/1000</f>
        <v>2.3820000000000001</v>
      </c>
    </row>
    <row r="261" spans="1:26" ht="16.5" thickBot="1">
      <c r="A261" s="81"/>
      <c s="81"/>
      <c s="81"/>
      <c s="82"/>
      <c s="82"/>
      <c s="82"/>
      <c s="82"/>
      <c s="82"/>
      <c s="82"/>
      <c s="83"/>
      <c s="83"/>
      <c s="82"/>
      <c s="82"/>
      <c s="82"/>
      <c s="82"/>
      <c s="82"/>
      <c s="82"/>
      <c s="82"/>
      <c s="82"/>
      <c s="82"/>
      <c s="82"/>
      <c s="82"/>
      <c s="82"/>
      <c s="82"/>
      <c s="82"/>
      <c s="82"/>
    </row>
    <row r="262" spans="1:11" ht="15.75">
      <c r="A262" s="51">
        <v>9</v>
      </c>
      <c s="51" t="s">
        <v>71</v>
      </c>
      <c s="86"/>
      <c s="87"/>
      <c s="87"/>
      <c s="336"/>
      <c s="337"/>
      <c s="336"/>
      <c s="337"/>
      <c s="31"/>
      <c s="114"/>
    </row>
    <row r="263" spans="2:12" ht="15.75">
      <c r="B263" s="162">
        <f>K263+K267+K292+K298+K300+K307</f>
        <v>69.731814</v>
      </c>
      <c s="86" t="s">
        <v>345</v>
      </c>
      <c s="87">
        <v>40</v>
      </c>
      <c s="87"/>
      <c s="87">
        <v>40</v>
      </c>
      <c s="87"/>
      <c s="87"/>
      <c s="87"/>
      <c s="31">
        <v>133</v>
      </c>
      <c s="88">
        <f>J263*F263/1000</f>
        <v>5.3200000000000003</v>
      </c>
      <c s="232"/>
    </row>
    <row r="264" spans="2:12" ht="15.75">
      <c r="B264" s="51">
        <f>D263+D267+D292+D298+D300+D307</f>
        <v>630</v>
      </c>
      <c s="86"/>
      <c s="87"/>
      <c s="249"/>
      <c s="250"/>
      <c s="250"/>
      <c s="250"/>
      <c s="250"/>
      <c s="248"/>
      <c s="248"/>
      <c s="232"/>
    </row>
    <row r="265" spans="2:12" ht="15.75">
      <c r="B265" s="163"/>
      <c r="E265" s="232"/>
      <c s="232"/>
      <c s="232"/>
      <c s="232"/>
      <c s="232"/>
      <c s="233"/>
      <c s="231"/>
      <c s="232"/>
    </row>
    <row r="267" spans="3:11" ht="15.75">
      <c r="C267" s="53" t="s">
        <v>183</v>
      </c>
      <c s="53">
        <v>100</v>
      </c>
      <c r="F267" s="328" t="s">
        <v>100</v>
      </c>
      <c s="329"/>
      <c s="328" t="s">
        <v>101</v>
      </c>
      <c s="329"/>
      <c r="K267" s="164">
        <f>SUM(K268:K287)</f>
        <v>42.517613999999995</v>
      </c>
    </row>
    <row r="268" spans="5:11" ht="15.75">
      <c r="E268" s="91" t="s">
        <v>115</v>
      </c>
      <c s="91">
        <v>69.400000000000006</v>
      </c>
      <c s="92"/>
      <c s="290">
        <v>50.700000000000003</v>
      </c>
      <c s="291"/>
      <c s="3">
        <v>548</v>
      </c>
      <c s="3">
        <f>F268*J268/1000</f>
        <v>38.031200000000005</v>
      </c>
    </row>
    <row r="269" spans="1:11" ht="15.75">
      <c r="A269" s="53"/>
      <c s="53"/>
      <c r="E269" s="91" t="s">
        <v>103</v>
      </c>
      <c s="91">
        <v>16</v>
      </c>
      <c s="92"/>
      <c s="290">
        <v>16</v>
      </c>
      <c s="291"/>
      <c s="3">
        <v>57.5</v>
      </c>
      <c s="3">
        <f>F269*J269/1000</f>
        <v>0.92000000000000004</v>
      </c>
    </row>
    <row r="270" spans="1:11" ht="15.75">
      <c r="A270" s="53"/>
      <c s="53"/>
      <c r="E270" s="91" t="s">
        <v>117</v>
      </c>
      <c s="91">
        <v>11</v>
      </c>
      <c s="92"/>
      <c s="290">
        <v>11</v>
      </c>
      <c s="291"/>
      <c s="3">
        <v>50.090000000000003</v>
      </c>
      <c s="3">
        <f>F270*J270/1000</f>
        <v>0.55098999999999998</v>
      </c>
    </row>
    <row r="271" spans="1:11" ht="15.75">
      <c r="A271" s="53"/>
      <c s="53"/>
      <c r="E271" s="91" t="s">
        <v>44</v>
      </c>
      <c s="91">
        <v>31</v>
      </c>
      <c s="92"/>
      <c s="290">
        <v>26</v>
      </c>
      <c s="291"/>
      <c s="3">
        <v>20</v>
      </c>
      <c s="3">
        <f>F271*J271/1000</f>
        <v>0.62</v>
      </c>
    </row>
    <row r="272" spans="1:11" ht="15.75">
      <c r="A272" s="53"/>
      <c s="53"/>
      <c r="E272" s="91" t="s">
        <v>5</v>
      </c>
      <c s="91">
        <v>4</v>
      </c>
      <c s="92"/>
      <c s="290">
        <v>4</v>
      </c>
      <c s="291"/>
      <c s="3">
        <v>152</v>
      </c>
      <c s="3">
        <f>F272*J272/1000</f>
        <v>0.60799999999999998</v>
      </c>
    </row>
    <row r="273" spans="1:9" ht="15.75">
      <c r="A273" s="53"/>
      <c s="53"/>
      <c r="E273" s="91" t="s">
        <v>184</v>
      </c>
      <c s="91" t="s">
        <v>109</v>
      </c>
      <c s="92"/>
      <c s="290">
        <v>13</v>
      </c>
      <c s="291"/>
    </row>
    <row r="274" spans="1:9" ht="15.75">
      <c r="A274" s="53"/>
      <c s="53"/>
      <c r="E274" s="91" t="s">
        <v>185</v>
      </c>
      <c s="91" t="s">
        <v>109</v>
      </c>
      <c s="92"/>
      <c s="290">
        <v>80</v>
      </c>
      <c s="291"/>
    </row>
    <row r="275" spans="1:11" ht="15.75">
      <c r="A275" s="53"/>
      <c s="53"/>
      <c r="E275" s="91" t="s">
        <v>34</v>
      </c>
      <c s="91">
        <v>5.2999999999999998</v>
      </c>
      <c s="92"/>
      <c s="290">
        <v>5.2999999999999998</v>
      </c>
      <c s="291"/>
      <c s="3">
        <v>37</v>
      </c>
      <c s="3">
        <f>F275*J275/1000</f>
        <v>0.1961</v>
      </c>
    </row>
    <row r="276" spans="1:11" ht="15.75">
      <c r="A276" s="53"/>
      <c s="53"/>
      <c r="E276" s="91" t="s">
        <v>124</v>
      </c>
      <c s="91">
        <v>0.34999999999999998</v>
      </c>
      <c s="92"/>
      <c s="290">
        <v>0.34999999999999998</v>
      </c>
      <c s="291"/>
      <c s="3">
        <v>17</v>
      </c>
      <c s="3">
        <f>F276*J276/1000</f>
        <v>0.0059499999999999996</v>
      </c>
    </row>
    <row r="277" spans="1:9" ht="15.75">
      <c r="A277" s="53"/>
      <c s="53"/>
      <c r="E277" s="91" t="s">
        <v>119</v>
      </c>
      <c s="91" t="s">
        <v>109</v>
      </c>
      <c s="92"/>
      <c s="290">
        <v>95</v>
      </c>
      <c s="291"/>
    </row>
    <row r="278" spans="1:11" ht="15.75">
      <c r="A278" s="53"/>
      <c s="53"/>
      <c r="E278" s="91" t="s">
        <v>5</v>
      </c>
      <c s="91">
        <v>4</v>
      </c>
      <c s="92"/>
      <c s="290">
        <v>4</v>
      </c>
      <c s="291"/>
      <c s="3">
        <v>152</v>
      </c>
      <c s="3">
        <f t="shared" si="12" ref="K278:K287">F278*J278/1000</f>
        <v>0.60799999999999998</v>
      </c>
    </row>
    <row r="279" spans="1:11" ht="15.75">
      <c r="A279" s="53"/>
      <c s="53"/>
      <c r="E279" s="91" t="s">
        <v>123</v>
      </c>
      <c s="91">
        <v>18</v>
      </c>
      <c s="92"/>
      <c s="290">
        <v>18</v>
      </c>
      <c s="291"/>
      <c r="K279" s="3">
        <f t="shared" si="12"/>
        <v>0</v>
      </c>
    </row>
    <row r="280" spans="1:11" ht="15.75">
      <c r="A280" s="53"/>
      <c s="53"/>
      <c r="E280" s="91" t="s">
        <v>105</v>
      </c>
      <c s="91">
        <v>0.90000000000000002</v>
      </c>
      <c s="92"/>
      <c s="290">
        <v>0.90000000000000002</v>
      </c>
      <c s="291"/>
      <c s="3">
        <v>497.14999999999998</v>
      </c>
      <c s="3">
        <f t="shared" si="12"/>
        <v>0.44743500000000003</v>
      </c>
    </row>
    <row r="281" spans="1:11" ht="15.75">
      <c r="A281" s="53"/>
      <c s="53"/>
      <c r="E281" s="91" t="s">
        <v>34</v>
      </c>
      <c s="91">
        <v>0.90000000000000002</v>
      </c>
      <c s="92"/>
      <c s="290">
        <v>0.90000000000000002</v>
      </c>
      <c s="291"/>
      <c s="3">
        <v>37</v>
      </c>
      <c s="3">
        <f t="shared" si="12"/>
        <v>0.033300000000000003</v>
      </c>
    </row>
    <row r="282" spans="1:11" ht="15.75">
      <c r="A282" s="53"/>
      <c s="53"/>
      <c r="E282" s="91" t="s">
        <v>45</v>
      </c>
      <c s="91">
        <v>1.5</v>
      </c>
      <c s="92"/>
      <c s="290">
        <v>1.2</v>
      </c>
      <c s="291"/>
      <c s="3">
        <v>30</v>
      </c>
      <c s="3">
        <f t="shared" si="12"/>
        <v>0.044999999999999998</v>
      </c>
    </row>
    <row r="283" spans="1:11" ht="15.75">
      <c r="A283" s="53"/>
      <c s="53"/>
      <c r="E283" s="91" t="s">
        <v>44</v>
      </c>
      <c s="91">
        <v>0.5</v>
      </c>
      <c s="92"/>
      <c s="290">
        <v>0.40000000000000002</v>
      </c>
      <c s="291"/>
      <c s="3">
        <v>20</v>
      </c>
      <c s="3">
        <f t="shared" si="12"/>
        <v>0.01</v>
      </c>
    </row>
    <row r="284" spans="1:11" ht="15.75">
      <c r="A284" s="53"/>
      <c s="53"/>
      <c r="E284" s="91" t="s">
        <v>126</v>
      </c>
      <c s="91">
        <v>2</v>
      </c>
      <c s="92"/>
      <c s="290">
        <v>2</v>
      </c>
      <c s="291"/>
      <c s="3">
        <v>138</v>
      </c>
      <c s="3">
        <f t="shared" si="12"/>
        <v>0.27600000000000002</v>
      </c>
    </row>
    <row r="285" spans="1:11" ht="15.75">
      <c r="A285" s="53"/>
      <c s="53"/>
      <c r="E285" s="91" t="s">
        <v>105</v>
      </c>
      <c s="91">
        <v>0.29999999999999999</v>
      </c>
      <c s="92"/>
      <c s="290">
        <v>0.29999999999999999</v>
      </c>
      <c s="291"/>
      <c s="3">
        <v>497.14999999999998</v>
      </c>
      <c s="3">
        <f t="shared" si="12"/>
        <v>0.14914499999999997</v>
      </c>
    </row>
    <row r="286" spans="1:11" ht="15.75">
      <c r="A286" s="53"/>
      <c s="53"/>
      <c r="E286" s="91" t="s">
        <v>125</v>
      </c>
      <c s="91">
        <v>0.20000000000000001</v>
      </c>
      <c s="92"/>
      <c s="290">
        <v>0.20000000000000001</v>
      </c>
      <c s="291"/>
      <c s="3">
        <v>72.269999999999996</v>
      </c>
      <c s="3">
        <f t="shared" si="12"/>
        <v>0.014454</v>
      </c>
    </row>
    <row r="287" spans="1:11" ht="15.75">
      <c r="A287" s="53"/>
      <c s="53"/>
      <c r="E287" s="91" t="s">
        <v>124</v>
      </c>
      <c s="91">
        <v>0.12</v>
      </c>
      <c s="92"/>
      <c s="290">
        <v>0.12</v>
      </c>
      <c s="291"/>
      <c s="3">
        <v>17</v>
      </c>
      <c s="3">
        <f t="shared" si="12"/>
        <v>0.0020400000000000001</v>
      </c>
    </row>
    <row r="288" spans="1:9" ht="15.75">
      <c r="A288" s="53"/>
      <c s="53"/>
      <c r="E288" s="91" t="s">
        <v>104</v>
      </c>
      <c s="91">
        <v>20</v>
      </c>
      <c s="92"/>
      <c s="290">
        <v>20</v>
      </c>
      <c s="291"/>
    </row>
    <row r="289" spans="1:9" ht="15.75">
      <c r="A289" s="53"/>
      <c s="53"/>
      <c r="E289" s="91" t="s">
        <v>186</v>
      </c>
      <c s="290" t="s">
        <v>109</v>
      </c>
      <c s="291"/>
      <c s="290">
        <v>20</v>
      </c>
      <c s="291"/>
    </row>
    <row r="290" spans="1:9" ht="15.75">
      <c r="A290" s="53"/>
      <c s="53"/>
      <c r="E290" s="97" t="s">
        <v>127</v>
      </c>
      <c s="286">
        <v>100</v>
      </c>
      <c s="287"/>
      <c s="287"/>
      <c s="287"/>
    </row>
    <row r="292" spans="1:11" ht="15.75">
      <c r="A292" s="53"/>
      <c s="53"/>
      <c s="51" t="s">
        <v>148</v>
      </c>
      <c s="53">
        <v>150</v>
      </c>
      <c r="F292" s="328" t="s">
        <v>100</v>
      </c>
      <c s="329"/>
      <c s="328" t="s">
        <v>101</v>
      </c>
      <c s="329"/>
      <c r="K292" s="164">
        <f>SUM(K293:K295)</f>
        <v>4.8765499999999999</v>
      </c>
    </row>
    <row r="293" spans="1:11" ht="15.75">
      <c r="A293" s="53"/>
      <c s="53"/>
      <c r="E293" s="61" t="s">
        <v>13</v>
      </c>
      <c s="62">
        <v>52</v>
      </c>
      <c s="63"/>
      <c s="330">
        <v>52</v>
      </c>
      <c s="331"/>
      <c s="3">
        <v>65</v>
      </c>
      <c s="3">
        <f>F293*J293/1000</f>
        <v>3.3799999999999999</v>
      </c>
    </row>
    <row r="294" spans="1:11" ht="15.75">
      <c r="A294" s="53"/>
      <c s="53"/>
      <c r="E294" s="61" t="s">
        <v>106</v>
      </c>
      <c s="65">
        <v>0.29999999999999999</v>
      </c>
      <c s="66"/>
      <c s="272">
        <v>0.29999999999999999</v>
      </c>
      <c s="274"/>
      <c s="3">
        <v>17</v>
      </c>
      <c s="3">
        <f>F294*J294/1000</f>
        <v>0.0050999999999999995</v>
      </c>
    </row>
    <row r="295" spans="1:11" ht="15.75">
      <c r="A295" s="53"/>
      <c s="53"/>
      <c r="E295" s="61" t="s">
        <v>105</v>
      </c>
      <c s="67">
        <v>3</v>
      </c>
      <c s="68"/>
      <c s="332">
        <v>3</v>
      </c>
      <c s="333"/>
      <c s="3">
        <v>497.14999999999998</v>
      </c>
      <c s="3">
        <f>F295*J295/1000</f>
        <v>1.4914499999999997</v>
      </c>
    </row>
    <row r="296" spans="1:9" ht="15.75">
      <c r="A296" s="53"/>
      <c s="53"/>
      <c r="E296" s="70" t="s">
        <v>108</v>
      </c>
      <c s="117" t="s">
        <v>109</v>
      </c>
      <c s="118"/>
      <c s="334">
        <v>150</v>
      </c>
      <c s="335"/>
    </row>
    <row r="298" spans="1:11" ht="15.75">
      <c r="A298" s="53"/>
      <c s="53"/>
      <c s="51" t="s">
        <v>94</v>
      </c>
      <c s="53">
        <v>100</v>
      </c>
      <c r="J298" s="3">
        <v>65</v>
      </c>
      <c s="165">
        <f>J298*D298/1000</f>
        <v>6.5</v>
      </c>
    </row>
    <row r="300" spans="1:11" ht="15.75">
      <c r="A300" s="53"/>
      <c s="53"/>
      <c s="51" t="s">
        <v>130</v>
      </c>
      <c s="53">
        <v>200</v>
      </c>
      <c r="F300" s="328" t="s">
        <v>100</v>
      </c>
      <c s="329"/>
      <c s="328" t="s">
        <v>101</v>
      </c>
      <c s="329"/>
      <c r="K300" s="164">
        <f>SUM(K301:K304)</f>
        <v>8.514050000000001</v>
      </c>
    </row>
    <row r="301" spans="1:11" ht="15.75">
      <c r="A301" s="53"/>
      <c s="53"/>
      <c r="E301" s="61" t="s">
        <v>131</v>
      </c>
      <c s="62">
        <v>4</v>
      </c>
      <c s="63"/>
      <c s="330">
        <v>4</v>
      </c>
      <c s="331"/>
      <c s="3">
        <v>420</v>
      </c>
      <c s="3">
        <f>J301*F301/1000</f>
        <v>1.6799999999999999</v>
      </c>
    </row>
    <row r="302" spans="1:11" ht="15.75">
      <c r="A302" s="53"/>
      <c s="53"/>
      <c r="E302" s="64" t="s">
        <v>107</v>
      </c>
      <c s="65">
        <v>15</v>
      </c>
      <c s="66"/>
      <c s="272">
        <v>15</v>
      </c>
      <c s="274"/>
      <c s="3">
        <v>72.269999999999996</v>
      </c>
      <c s="3">
        <f>J302*F302/1000</f>
        <v>1.08405</v>
      </c>
    </row>
    <row r="303" spans="1:11" ht="15.75">
      <c r="A303" s="53"/>
      <c s="53"/>
      <c r="E303" s="64" t="s">
        <v>65</v>
      </c>
      <c s="65">
        <v>100</v>
      </c>
      <c s="66"/>
      <c s="272">
        <v>100</v>
      </c>
      <c s="274"/>
      <c s="3">
        <v>57.5</v>
      </c>
      <c s="3">
        <f>J303*F303/1000</f>
        <v>5.75</v>
      </c>
    </row>
    <row r="304" spans="1:11" ht="15.75">
      <c r="A304" s="53"/>
      <c s="53"/>
      <c r="E304" s="64" t="s">
        <v>104</v>
      </c>
      <c s="67">
        <v>81</v>
      </c>
      <c s="68"/>
      <c s="272">
        <v>81</v>
      </c>
      <c s="274"/>
      <c s="3">
        <v>0</v>
      </c>
      <c s="3">
        <f>J304*F304/1000</f>
        <v>0</v>
      </c>
    </row>
    <row r="305" spans="1:9" ht="15.75">
      <c r="A305" s="53"/>
      <c s="53"/>
      <c r="E305" s="70" t="s">
        <v>108</v>
      </c>
      <c s="280" t="s">
        <v>109</v>
      </c>
      <c s="280"/>
      <c s="276">
        <v>200</v>
      </c>
      <c s="276"/>
    </row>
    <row r="307" spans="1:11" ht="15.75">
      <c r="A307" s="53"/>
      <c s="53"/>
      <c s="51" t="s">
        <v>112</v>
      </c>
      <c s="53">
        <v>40</v>
      </c>
      <c r="J307" s="3">
        <v>50.090000000000003</v>
      </c>
      <c s="164">
        <f>D307*J307/1000</f>
        <v>2.0036</v>
      </c>
    </row>
    <row r="308" spans="1:24" ht="16.5" thickBot="1">
      <c r="A308" s="81"/>
      <c s="81"/>
      <c s="81"/>
      <c s="82"/>
      <c s="82"/>
      <c s="82"/>
      <c s="82"/>
      <c s="82"/>
      <c s="82"/>
      <c s="83"/>
      <c s="83"/>
      <c s="82"/>
      <c s="82"/>
      <c s="82"/>
      <c s="82"/>
      <c s="82"/>
      <c s="82"/>
      <c s="82"/>
      <c s="82"/>
      <c s="82"/>
      <c s="82"/>
      <c s="82"/>
      <c s="82"/>
      <c s="82"/>
    </row>
    <row r="309" spans="1:11" ht="15.75">
      <c r="A309" s="166">
        <v>10</v>
      </c>
      <c s="51">
        <f>K313+K315+K324+K326+K331+K309</f>
        <v>54.20075099999999</v>
      </c>
      <c s="227" t="s">
        <v>336</v>
      </c>
      <c s="228"/>
      <c s="227" t="s">
        <v>335</v>
      </c>
      <c s="230">
        <v>40</v>
      </c>
      <c s="230"/>
      <c s="228"/>
      <c s="228"/>
      <c s="231">
        <v>140</v>
      </c>
      <c s="84">
        <f>F309*J309/1000</f>
        <v>5.5999999999999996</v>
      </c>
    </row>
    <row r="310" spans="2:11" ht="15.75">
      <c r="B310" s="51">
        <f>D313+D315+D324+D326+D331+D309</f>
        <v>460</v>
      </c>
      <c s="167"/>
      <c s="168"/>
      <c s="226"/>
      <c s="327"/>
      <c s="327"/>
      <c s="168"/>
      <c s="168"/>
      <c s="89"/>
      <c s="89"/>
    </row>
    <row r="311" spans="3:11" ht="15.75">
      <c r="C311" s="167"/>
      <c s="168"/>
      <c s="168"/>
      <c s="170"/>
      <c s="170"/>
      <c s="170"/>
      <c s="170"/>
      <c s="89"/>
      <c s="89"/>
    </row>
    <row r="313" spans="3:11" ht="15.75">
      <c r="C313" s="51" t="s">
        <v>169</v>
      </c>
      <c s="53">
        <v>20</v>
      </c>
      <c s="61" t="s">
        <v>170</v>
      </c>
      <c s="133">
        <v>21</v>
      </c>
      <c s="134"/>
      <c s="275">
        <v>20</v>
      </c>
      <c s="275"/>
      <c s="3">
        <v>498</v>
      </c>
      <c s="135">
        <f>F313*J313/1000</f>
        <v>10.458</v>
      </c>
    </row>
    <row r="315" spans="3:11" ht="15.75">
      <c r="C315" s="51" t="s">
        <v>153</v>
      </c>
      <c s="53">
        <v>200</v>
      </c>
      <c r="F315" s="277" t="s">
        <v>100</v>
      </c>
      <c s="277"/>
      <c s="277" t="s">
        <v>101</v>
      </c>
      <c s="277"/>
      <c r="K315" s="122">
        <f>SUM(K316:K321)</f>
        <v>34.286700999999994</v>
      </c>
    </row>
    <row r="316" spans="5:11" ht="15.75">
      <c r="E316" s="61" t="s">
        <v>154</v>
      </c>
      <c s="62">
        <v>137.94</v>
      </c>
      <c s="63"/>
      <c s="275">
        <f t="shared" si="13" ref="H316:H320">F316</f>
        <v>137.94</v>
      </c>
      <c s="275"/>
      <c s="3">
        <v>140</v>
      </c>
      <c s="3">
        <f t="shared" si="14" ref="K316:K321">F316*J316/1000</f>
        <v>19.311599999999999</v>
      </c>
    </row>
    <row r="317" spans="5:11" ht="15.75">
      <c r="E317" s="64" t="s">
        <v>103</v>
      </c>
      <c s="65">
        <v>51.719999999999999</v>
      </c>
      <c s="66"/>
      <c s="275">
        <f t="shared" si="13"/>
        <v>51.719999999999999</v>
      </c>
      <c s="275"/>
      <c s="3">
        <v>57.5</v>
      </c>
      <c s="3">
        <f t="shared" si="14"/>
        <v>2.9739</v>
      </c>
    </row>
    <row r="318" spans="5:11" ht="15.75">
      <c r="E318" s="64" t="s">
        <v>105</v>
      </c>
      <c s="65">
        <v>6.9000000000000004</v>
      </c>
      <c s="66"/>
      <c s="275">
        <f t="shared" si="13"/>
        <v>6.9000000000000004</v>
      </c>
      <c s="275"/>
      <c s="3">
        <v>497.14999999999998</v>
      </c>
      <c s="3">
        <f t="shared" si="14"/>
        <v>3.4303349999999999</v>
      </c>
    </row>
    <row r="319" spans="5:11" ht="15.75">
      <c r="E319" s="64" t="s">
        <v>116</v>
      </c>
      <c s="65">
        <v>51.719999999999999</v>
      </c>
      <c s="66"/>
      <c s="275">
        <f t="shared" si="13"/>
        <v>51.719999999999999</v>
      </c>
      <c s="275"/>
      <c r="K319" s="3">
        <f t="shared" si="14"/>
        <v>0</v>
      </c>
    </row>
    <row r="320" spans="5:11" ht="15.75">
      <c r="E320" s="64" t="s">
        <v>105</v>
      </c>
      <c s="125">
        <v>17.239999999999998</v>
      </c>
      <c s="126"/>
      <c s="275">
        <f t="shared" si="13"/>
        <v>17.239999999999998</v>
      </c>
      <c s="275"/>
      <c s="3">
        <v>497.14999999999998</v>
      </c>
      <c s="3">
        <f t="shared" si="14"/>
        <v>8.5708659999999988</v>
      </c>
    </row>
    <row r="321" spans="5:11" ht="15.75">
      <c r="E321" s="61"/>
      <c s="275"/>
      <c s="275"/>
      <c s="275"/>
      <c s="275"/>
      <c r="K321" s="3">
        <f t="shared" si="14"/>
        <v>0</v>
      </c>
    </row>
    <row r="322" spans="5:9" ht="15.75">
      <c r="E322" s="70" t="s">
        <v>108</v>
      </c>
      <c s="280" t="s">
        <v>109</v>
      </c>
      <c s="280"/>
      <c s="276">
        <v>200</v>
      </c>
      <c s="276"/>
    </row>
    <row r="324" spans="1:11" ht="15.75">
      <c r="A324" s="53"/>
      <c s="53"/>
      <c r="E324" s="61"/>
      <c s="275"/>
      <c s="275"/>
      <c s="275"/>
      <c s="275"/>
      <c r="K324" s="135"/>
    </row>
    <row r="326" spans="1:11" ht="15.75">
      <c r="A326" s="53"/>
      <c s="53"/>
      <c s="51" t="s">
        <v>141</v>
      </c>
      <c s="53">
        <v>200</v>
      </c>
      <c r="F326" s="277" t="s">
        <v>100</v>
      </c>
      <c s="277"/>
      <c s="277" t="s">
        <v>101</v>
      </c>
      <c s="277"/>
      <c r="K326" s="122">
        <f>K327+K328</f>
        <v>1.4740500000000001</v>
      </c>
    </row>
    <row r="327" spans="1:11" ht="15.75">
      <c r="A327" s="53"/>
      <c s="53"/>
      <c r="E327" s="61" t="s">
        <v>8</v>
      </c>
      <c s="62">
        <v>0.59999999999999998</v>
      </c>
      <c s="63"/>
      <c s="275">
        <v>0.59999999999999998</v>
      </c>
      <c s="275"/>
      <c s="3">
        <v>650</v>
      </c>
      <c s="3">
        <f>J327*F327/1000</f>
        <v>0.39000000000000001</v>
      </c>
    </row>
    <row r="328" spans="1:11" ht="15.75">
      <c r="A328" s="53"/>
      <c s="53"/>
      <c r="E328" s="64" t="s">
        <v>107</v>
      </c>
      <c s="67">
        <v>15</v>
      </c>
      <c s="68"/>
      <c s="272">
        <v>15</v>
      </c>
      <c s="274"/>
      <c s="3">
        <v>72.269999999999996</v>
      </c>
      <c s="3">
        <f>J328*F328/1000</f>
        <v>1.08405</v>
      </c>
    </row>
    <row r="329" spans="1:9" ht="15.75">
      <c r="A329" s="53"/>
      <c s="53"/>
      <c r="E329" s="70" t="s">
        <v>108</v>
      </c>
      <c s="117" t="s">
        <v>109</v>
      </c>
      <c s="118"/>
      <c s="276">
        <v>200</v>
      </c>
      <c s="276"/>
    </row>
    <row r="331" spans="1:26" ht="16.5" thickBot="1">
      <c r="A331" s="82"/>
      <c s="82"/>
      <c s="81" t="s">
        <v>142</v>
      </c>
      <c s="82">
        <v>40</v>
      </c>
      <c s="82"/>
      <c s="82"/>
      <c s="82"/>
      <c s="82"/>
      <c s="82"/>
      <c s="83">
        <v>59.549999999999997</v>
      </c>
      <c s="171">
        <f>D331*J331/1000</f>
        <v>2.3820000000000001</v>
      </c>
      <c s="82"/>
      <c s="82"/>
      <c s="82"/>
      <c s="82"/>
      <c s="82"/>
      <c s="82"/>
      <c s="82"/>
      <c s="82"/>
      <c s="82"/>
      <c s="82"/>
      <c s="82"/>
      <c s="82"/>
      <c s="82"/>
      <c s="82"/>
      <c s="82"/>
    </row>
  </sheetData>
  <mergeCells count="295">
    <mergeCell ref="E5:E7"/>
    <mergeCell ref="E17:E19"/>
    <mergeCell ref="F18:I18"/>
    <mergeCell ref="F19:G19"/>
    <mergeCell ref="H19:I19"/>
    <mergeCell ref="H20:I20"/>
    <mergeCell ref="F34:G34"/>
    <mergeCell ref="H34:I34"/>
    <mergeCell ref="H35:I35"/>
    <mergeCell ref="H36:I36"/>
    <mergeCell ref="H37:I37"/>
    <mergeCell ref="H38:I38"/>
    <mergeCell ref="H21:I21"/>
    <mergeCell ref="H22:I22"/>
    <mergeCell ref="H23:I23"/>
    <mergeCell ref="F24:G24"/>
    <mergeCell ref="H24:I24"/>
    <mergeCell ref="F33:I33"/>
    <mergeCell ref="H45:I45"/>
    <mergeCell ref="H46:I46"/>
    <mergeCell ref="H47:I47"/>
    <mergeCell ref="H48:I48"/>
    <mergeCell ref="H49:I49"/>
    <mergeCell ref="H50:I50"/>
    <mergeCell ref="H39:I39"/>
    <mergeCell ref="H40:I40"/>
    <mergeCell ref="H41:I41"/>
    <mergeCell ref="H42:I42"/>
    <mergeCell ref="H43:I43"/>
    <mergeCell ref="H44:I44"/>
    <mergeCell ref="H59:I59"/>
    <mergeCell ref="H60:I60"/>
    <mergeCell ref="H61:I61"/>
    <mergeCell ref="F62:G62"/>
    <mergeCell ref="H62:I62"/>
    <mergeCell ref="F64:G64"/>
    <mergeCell ref="H64:I64"/>
    <mergeCell ref="H51:I51"/>
    <mergeCell ref="H52:I52"/>
    <mergeCell ref="H53:I53"/>
    <mergeCell ref="H54:I54"/>
    <mergeCell ref="F55:I55"/>
    <mergeCell ref="F58:G58"/>
    <mergeCell ref="H58:I58"/>
    <mergeCell ref="F76:G76"/>
    <mergeCell ref="H76:I76"/>
    <mergeCell ref="H77:I77"/>
    <mergeCell ref="F78:G78"/>
    <mergeCell ref="H78:I78"/>
    <mergeCell ref="H80:I80"/>
    <mergeCell ref="H65:I65"/>
    <mergeCell ref="H66:I66"/>
    <mergeCell ref="H67:I67"/>
    <mergeCell ref="H68:I68"/>
    <mergeCell ref="F69:G69"/>
    <mergeCell ref="H69:I69"/>
    <mergeCell ref="H87:I87"/>
    <mergeCell ref="H88:I88"/>
    <mergeCell ref="H89:I89"/>
    <mergeCell ref="H90:I90"/>
    <mergeCell ref="F91:G91"/>
    <mergeCell ref="H91:I91"/>
    <mergeCell ref="H81:I81"/>
    <mergeCell ref="H82:I82"/>
    <mergeCell ref="H83:I83"/>
    <mergeCell ref="H84:I84"/>
    <mergeCell ref="H85:I85"/>
    <mergeCell ref="H86:I86"/>
    <mergeCell ref="F97:G97"/>
    <mergeCell ref="H97:I97"/>
    <mergeCell ref="F104:G104"/>
    <mergeCell ref="H104:I104"/>
    <mergeCell ref="F105:G105"/>
    <mergeCell ref="F106:G106"/>
    <mergeCell ref="H106:I106"/>
    <mergeCell ref="F92:G92"/>
    <mergeCell ref="H92:I92"/>
    <mergeCell ref="F94:G94"/>
    <mergeCell ref="H94:I94"/>
    <mergeCell ref="H95:I95"/>
    <mergeCell ref="H96:I96"/>
    <mergeCell ref="F110:G110"/>
    <mergeCell ref="H110:I110"/>
    <mergeCell ref="F111:G111"/>
    <mergeCell ref="H111:I111"/>
    <mergeCell ref="F112:I112"/>
    <mergeCell ref="H113:I113"/>
    <mergeCell ref="F107:G107"/>
    <mergeCell ref="H107:I107"/>
    <mergeCell ref="F108:G108"/>
    <mergeCell ref="H108:I108"/>
    <mergeCell ref="F109:G109"/>
    <mergeCell ref="H109:I109"/>
    <mergeCell ref="F121:G121"/>
    <mergeCell ref="H121:I121"/>
    <mergeCell ref="H122:I122"/>
    <mergeCell ref="H123:I123"/>
    <mergeCell ref="H124:I124"/>
    <mergeCell ref="F125:G125"/>
    <mergeCell ref="H125:I125"/>
    <mergeCell ref="F115:G115"/>
    <mergeCell ref="H115:I115"/>
    <mergeCell ref="H116:I116"/>
    <mergeCell ref="H117:I117"/>
    <mergeCell ref="H118:I118"/>
    <mergeCell ref="H119:I119"/>
    <mergeCell ref="F133:G133"/>
    <mergeCell ref="F134:G134"/>
    <mergeCell ref="H134:I134"/>
    <mergeCell ref="F135:G135"/>
    <mergeCell ref="H135:I135"/>
    <mergeCell ref="F137:G137"/>
    <mergeCell ref="H137:I137"/>
    <mergeCell ref="F129:G129"/>
    <mergeCell ref="H129:I129"/>
    <mergeCell ref="F131:G131"/>
    <mergeCell ref="H131:I131"/>
    <mergeCell ref="F132:G132"/>
    <mergeCell ref="H132:I132"/>
    <mergeCell ref="F144:G144"/>
    <mergeCell ref="H144:I144"/>
    <mergeCell ref="F145:G145"/>
    <mergeCell ref="H145:I145"/>
    <mergeCell ref="H146:I146"/>
    <mergeCell ref="F150:G150"/>
    <mergeCell ref="H150:I150"/>
    <mergeCell ref="H138:I138"/>
    <mergeCell ref="H139:I139"/>
    <mergeCell ref="H140:I140"/>
    <mergeCell ref="H141:I141"/>
    <mergeCell ref="H142:I142"/>
    <mergeCell ref="F143:G143"/>
    <mergeCell ref="H143:I143"/>
    <mergeCell ref="F159:G159"/>
    <mergeCell ref="H159:I159"/>
    <mergeCell ref="F160:G160"/>
    <mergeCell ref="H160:I160"/>
    <mergeCell ref="F161:G161"/>
    <mergeCell ref="H161:I161"/>
    <mergeCell ref="H151:I151"/>
    <mergeCell ref="H152:I152"/>
    <mergeCell ref="F153:G153"/>
    <mergeCell ref="H153:I153"/>
    <mergeCell ref="F157:G157"/>
    <mergeCell ref="H157:I157"/>
    <mergeCell ref="F165:G165"/>
    <mergeCell ref="H165:I165"/>
    <mergeCell ref="F166:G166"/>
    <mergeCell ref="H166:I166"/>
    <mergeCell ref="F167:G167"/>
    <mergeCell ref="H167:I167"/>
    <mergeCell ref="F162:G162"/>
    <mergeCell ref="H162:I162"/>
    <mergeCell ref="F163:G163"/>
    <mergeCell ref="H163:I163"/>
    <mergeCell ref="F164:G164"/>
    <mergeCell ref="H164:I164"/>
    <mergeCell ref="F172:G172"/>
    <mergeCell ref="H172:I172"/>
    <mergeCell ref="F173:G173"/>
    <mergeCell ref="H173:I173"/>
    <mergeCell ref="F174:G174"/>
    <mergeCell ref="H174:I174"/>
    <mergeCell ref="F168:G168"/>
    <mergeCell ref="H168:I168"/>
    <mergeCell ref="F169:G169"/>
    <mergeCell ref="H169:I169"/>
    <mergeCell ref="F171:G171"/>
    <mergeCell ref="H171:I171"/>
    <mergeCell ref="H183:I183"/>
    <mergeCell ref="H185:I185"/>
    <mergeCell ref="H187:I187"/>
    <mergeCell ref="H188:I188"/>
    <mergeCell ref="H189:I189"/>
    <mergeCell ref="H190:I190"/>
    <mergeCell ref="F175:G175"/>
    <mergeCell ref="H175:I175"/>
    <mergeCell ref="F176:G176"/>
    <mergeCell ref="H176:I176"/>
    <mergeCell ref="F178:G178"/>
    <mergeCell ref="H178:I178"/>
    <mergeCell ref="F204:G204"/>
    <mergeCell ref="F206:G206"/>
    <mergeCell ref="H206:I206"/>
    <mergeCell ref="H191:I191"/>
    <mergeCell ref="H192:I192"/>
    <mergeCell ref="H193:I193"/>
    <mergeCell ref="H195:I195"/>
    <mergeCell ref="H196:I196"/>
    <mergeCell ref="H197:I197"/>
    <mergeCell ref="H207:I207"/>
    <mergeCell ref="H208:I208"/>
    <mergeCell ref="H209:I209"/>
    <mergeCell ref="H210:I210"/>
    <mergeCell ref="H211:I211"/>
    <mergeCell ref="H212:I212"/>
    <mergeCell ref="H198:I198"/>
    <mergeCell ref="H199:I199"/>
    <mergeCell ref="H200:I200"/>
    <mergeCell ref="F242:G242"/>
    <mergeCell ref="H242:I242"/>
    <mergeCell ref="H221:I221"/>
    <mergeCell ref="H222:I222"/>
    <mergeCell ref="H223:I223"/>
    <mergeCell ref="H224:I224"/>
    <mergeCell ref="H225:I225"/>
    <mergeCell ref="H226:I226"/>
    <mergeCell ref="H213:I213"/>
    <mergeCell ref="H214:I214"/>
    <mergeCell ref="H215:I215"/>
    <mergeCell ref="F216:I216"/>
    <mergeCell ref="F220:G220"/>
    <mergeCell ref="H220:I220"/>
    <mergeCell ref="H243:I243"/>
    <mergeCell ref="H244:I244"/>
    <mergeCell ref="H245:I245"/>
    <mergeCell ref="H246:I246"/>
    <mergeCell ref="H247:I247"/>
    <mergeCell ref="H248:I248"/>
    <mergeCell ref="H228:I228"/>
    <mergeCell ref="H229:I229"/>
    <mergeCell ref="H230:I230"/>
    <mergeCell ref="H231:I231"/>
    <mergeCell ref="F267:G267"/>
    <mergeCell ref="H267:I267"/>
    <mergeCell ref="H256:I256"/>
    <mergeCell ref="H257:I257"/>
    <mergeCell ref="F258:G258"/>
    <mergeCell ref="H258:I258"/>
    <mergeCell ref="F262:G262"/>
    <mergeCell ref="H262:I262"/>
    <mergeCell ref="H249:I249"/>
    <mergeCell ref="H250:I250"/>
    <mergeCell ref="H251:I251"/>
    <mergeCell ref="H252:I252"/>
    <mergeCell ref="H254:I254"/>
    <mergeCell ref="H255:I255"/>
    <mergeCell ref="H274:I274"/>
    <mergeCell ref="H275:I275"/>
    <mergeCell ref="H276:I276"/>
    <mergeCell ref="H277:I277"/>
    <mergeCell ref="H278:I278"/>
    <mergeCell ref="H279:I279"/>
    <mergeCell ref="H268:I268"/>
    <mergeCell ref="H269:I269"/>
    <mergeCell ref="H270:I270"/>
    <mergeCell ref="H271:I271"/>
    <mergeCell ref="H272:I272"/>
    <mergeCell ref="H273:I273"/>
    <mergeCell ref="H286:I286"/>
    <mergeCell ref="H287:I287"/>
    <mergeCell ref="H288:I288"/>
    <mergeCell ref="F289:G289"/>
    <mergeCell ref="H289:I289"/>
    <mergeCell ref="F290:I290"/>
    <mergeCell ref="H280:I280"/>
    <mergeCell ref="H281:I281"/>
    <mergeCell ref="H282:I282"/>
    <mergeCell ref="H283:I283"/>
    <mergeCell ref="H284:I284"/>
    <mergeCell ref="H285:I285"/>
    <mergeCell ref="F300:G300"/>
    <mergeCell ref="H300:I300"/>
    <mergeCell ref="H301:I301"/>
    <mergeCell ref="H302:I302"/>
    <mergeCell ref="H303:I303"/>
    <mergeCell ref="H304:I304"/>
    <mergeCell ref="F292:G292"/>
    <mergeCell ref="H292:I292"/>
    <mergeCell ref="H293:I293"/>
    <mergeCell ref="H294:I294"/>
    <mergeCell ref="H295:I295"/>
    <mergeCell ref="H296:I296"/>
    <mergeCell ref="F315:G315"/>
    <mergeCell ref="H315:I315"/>
    <mergeCell ref="H316:I316"/>
    <mergeCell ref="H317:I317"/>
    <mergeCell ref="H318:I318"/>
    <mergeCell ref="H319:I319"/>
    <mergeCell ref="F305:G305"/>
    <mergeCell ref="H305:I305"/>
    <mergeCell ref="F310:G310"/>
    <mergeCell ref="H313:I313"/>
    <mergeCell ref="F326:G326"/>
    <mergeCell ref="H326:I326"/>
    <mergeCell ref="H327:I327"/>
    <mergeCell ref="H328:I328"/>
    <mergeCell ref="H329:I329"/>
    <mergeCell ref="H320:I320"/>
    <mergeCell ref="F321:G321"/>
    <mergeCell ref="H321:I321"/>
    <mergeCell ref="F322:G322"/>
    <mergeCell ref="H322:I322"/>
    <mergeCell ref="F324:G324"/>
    <mergeCell ref="H324:I324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B1:T368"/>
  <sheetViews>
    <sheetView tabSelected="1" zoomScale="70" zoomScaleNormal="70" workbookViewId="0" topLeftCell="B1">
      <selection pane="topLeft" activeCell="F358" sqref="F358"/>
    </sheetView>
  </sheetViews>
  <sheetFormatPr defaultRowHeight="15"/>
  <cols>
    <col min="1" max="1" width="9" hidden="1" customWidth="1"/>
    <col min="2" max="2" width="9" style="203" customWidth="1"/>
    <col min="3" max="3" width="14" style="203" customWidth="1"/>
    <col min="4" max="4" width="17" style="203" customWidth="1"/>
    <col min="5" max="5" width="7" style="203" customWidth="1"/>
    <col min="6" max="6" width="8" style="203" customWidth="1"/>
    <col min="7" max="8" width="8.28571428571429" style="203" customWidth="1"/>
    <col min="9" max="9" width="7.85714285714286" style="203" customWidth="1"/>
    <col min="10" max="12" width="9.14285714285714" style="203" customWidth="1"/>
    <col min="13" max="14" width="8.85714285714286" style="203" customWidth="1"/>
    <col min="15" max="16" width="7.71428571428571" style="203" customWidth="1"/>
    <col min="17" max="17" width="8.42857142857143" style="203" customWidth="1"/>
    <col min="18" max="18" width="9" style="203" customWidth="1"/>
    <col min="19" max="19" width="9.28571428571429" style="203" customWidth="1"/>
    <col min="20" max="20" width="8.57142857142857" style="203" customWidth="1"/>
  </cols>
  <sheetData>
    <row r="1" spans="2:20" ht="15">
      <c r="B1" s="172"/>
      <c s="173"/>
      <c s="173"/>
      <c s="173"/>
      <c s="173"/>
      <c s="173"/>
      <c s="173"/>
      <c s="173"/>
      <c s="173"/>
      <c s="173"/>
      <c s="173"/>
      <c s="356" t="s">
        <v>187</v>
      </c>
      <c s="356"/>
      <c s="356"/>
      <c s="356"/>
      <c s="356"/>
      <c s="356"/>
      <c s="356"/>
      <c s="356"/>
    </row>
    <row r="2" spans="2:20" ht="15">
      <c r="B2" s="353" t="s">
        <v>188</v>
      </c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</row>
    <row r="3" spans="2:20" ht="15">
      <c r="B3" s="353" t="s">
        <v>189</v>
      </c>
      <c s="353"/>
      <c s="173"/>
      <c s="173"/>
      <c s="173"/>
      <c s="356" t="s">
        <v>190</v>
      </c>
      <c s="356"/>
      <c s="356"/>
      <c s="173"/>
      <c s="173"/>
      <c s="353" t="s">
        <v>191</v>
      </c>
      <c s="353"/>
      <c s="356" t="s">
        <v>192</v>
      </c>
      <c s="356"/>
      <c s="356"/>
      <c s="356"/>
      <c s="173"/>
      <c s="173"/>
      <c s="173"/>
    </row>
    <row r="4" spans="2:20" ht="15">
      <c r="B4" s="356" t="s">
        <v>193</v>
      </c>
      <c s="356"/>
      <c s="356"/>
      <c s="353" t="s">
        <v>194</v>
      </c>
      <c s="353"/>
      <c s="173">
        <v>1</v>
      </c>
      <c s="173"/>
      <c s="173"/>
      <c s="173"/>
      <c s="173"/>
      <c s="353" t="s">
        <v>195</v>
      </c>
      <c s="353"/>
      <c s="356" t="s">
        <v>196</v>
      </c>
      <c s="356"/>
      <c s="356"/>
      <c s="356"/>
      <c s="356"/>
      <c s="356"/>
      <c s="356"/>
    </row>
    <row r="5" spans="2:20" ht="15">
      <c r="B5" s="354" t="s">
        <v>197</v>
      </c>
      <c s="354" t="s">
        <v>198</v>
      </c>
      <c s="354"/>
      <c s="354" t="s">
        <v>199</v>
      </c>
      <c s="354" t="s">
        <v>200</v>
      </c>
      <c s="354"/>
      <c s="354"/>
      <c s="174" t="s">
        <v>201</v>
      </c>
      <c s="354" t="s">
        <v>202</v>
      </c>
      <c s="354"/>
      <c s="354"/>
      <c s="354"/>
      <c s="354"/>
      <c s="354" t="s">
        <v>203</v>
      </c>
      <c s="354"/>
      <c s="354"/>
      <c s="354"/>
      <c s="354"/>
      <c s="354"/>
    </row>
    <row r="6" spans="2:20" ht="30" customHeight="1">
      <c r="B6" s="354"/>
      <c s="354"/>
      <c s="354"/>
      <c s="354"/>
      <c s="174" t="s">
        <v>204</v>
      </c>
      <c s="174" t="s">
        <v>205</v>
      </c>
      <c s="174" t="s">
        <v>206</v>
      </c>
      <c s="174" t="s">
        <v>207</v>
      </c>
      <c s="174" t="s">
        <v>208</v>
      </c>
      <c s="174" t="s">
        <v>209</v>
      </c>
      <c s="174" t="s">
        <v>210</v>
      </c>
      <c s="174" t="s">
        <v>211</v>
      </c>
      <c s="174" t="s">
        <v>212</v>
      </c>
      <c s="174" t="s">
        <v>213</v>
      </c>
      <c s="174" t="s">
        <v>214</v>
      </c>
      <c s="174" t="s">
        <v>215</v>
      </c>
      <c s="174" t="s">
        <v>216</v>
      </c>
      <c s="174" t="s">
        <v>217</v>
      </c>
      <c s="174" t="s">
        <v>218</v>
      </c>
    </row>
    <row r="7" spans="2:20" ht="15">
      <c r="B7" s="175">
        <v>1</v>
      </c>
      <c s="355">
        <v>2</v>
      </c>
      <c s="355"/>
      <c s="175">
        <v>3</v>
      </c>
      <c s="175">
        <v>4</v>
      </c>
      <c s="175">
        <v>5</v>
      </c>
      <c s="175">
        <v>6</v>
      </c>
      <c s="175">
        <v>7</v>
      </c>
      <c s="175">
        <v>8</v>
      </c>
      <c s="175">
        <v>9</v>
      </c>
      <c s="175">
        <v>10</v>
      </c>
      <c s="175">
        <v>11</v>
      </c>
      <c s="175">
        <v>12</v>
      </c>
      <c s="175">
        <v>13</v>
      </c>
      <c s="175">
        <v>14</v>
      </c>
      <c s="175">
        <v>15</v>
      </c>
      <c s="175">
        <v>16</v>
      </c>
      <c s="175">
        <v>17</v>
      </c>
      <c s="175">
        <v>18</v>
      </c>
    </row>
    <row r="8" spans="2:20" s="176" customFormat="1" ht="15">
      <c r="B8" s="343" t="s">
        <v>219</v>
      </c>
      <c s="343"/>
      <c s="343"/>
      <c s="343"/>
      <c s="343"/>
      <c s="343"/>
      <c s="343"/>
      <c s="343"/>
      <c s="343"/>
      <c s="343"/>
      <c s="343"/>
      <c s="343"/>
      <c s="343"/>
      <c s="343"/>
      <c s="343"/>
      <c s="343"/>
      <c s="343"/>
      <c s="343"/>
      <c s="343"/>
    </row>
    <row r="9" spans="2:20" s="176" customFormat="1" ht="18.75" customHeight="1">
      <c r="B9" s="177">
        <v>338</v>
      </c>
      <c s="345" t="s">
        <v>220</v>
      </c>
      <c s="345"/>
      <c s="177">
        <v>100</v>
      </c>
      <c s="177">
        <v>0.40000000000000002</v>
      </c>
      <c s="177">
        <v>0.40000000000000002</v>
      </c>
      <c s="177">
        <v>9.8000000000000007</v>
      </c>
      <c s="177">
        <v>42</v>
      </c>
      <c s="177">
        <v>0.040000000000000001</v>
      </c>
      <c s="177">
        <v>0.02</v>
      </c>
      <c s="177">
        <v>10</v>
      </c>
      <c s="177">
        <v>0</v>
      </c>
      <c s="177">
        <v>0.20000000000000001</v>
      </c>
      <c s="177">
        <v>16</v>
      </c>
      <c s="177">
        <v>11</v>
      </c>
      <c s="177">
        <v>0</v>
      </c>
      <c s="177">
        <v>0</v>
      </c>
      <c s="177">
        <v>9</v>
      </c>
      <c s="177">
        <v>2.2000000000000002</v>
      </c>
    </row>
    <row r="10" spans="2:20" s="176" customFormat="1" ht="28.5" customHeight="1">
      <c r="B10" s="177">
        <v>15</v>
      </c>
      <c s="345" t="s">
        <v>221</v>
      </c>
      <c s="345"/>
      <c s="177">
        <v>20</v>
      </c>
      <c s="177">
        <v>4.6399999999999997</v>
      </c>
      <c s="177">
        <v>6.7999999999999998</v>
      </c>
      <c s="177">
        <v>0.02</v>
      </c>
      <c s="177">
        <v>79.799999999999997</v>
      </c>
      <c s="177">
        <v>0.01</v>
      </c>
      <c s="177">
        <v>0.059999999999999998</v>
      </c>
      <c s="177">
        <v>0.14000000000000001</v>
      </c>
      <c s="177">
        <v>0.045999999999999999</v>
      </c>
      <c s="177">
        <v>0.10000000000000001</v>
      </c>
      <c s="177">
        <v>176</v>
      </c>
      <c s="177">
        <v>100</v>
      </c>
      <c s="177">
        <v>0.80000000000000004</v>
      </c>
      <c s="177">
        <v>0.040000000000000001</v>
      </c>
      <c s="177">
        <v>7</v>
      </c>
      <c s="177">
        <v>0.26000000000000001</v>
      </c>
    </row>
    <row r="11" spans="2:20" s="176" customFormat="1" ht="26.25" customHeight="1">
      <c r="B11" s="177">
        <v>173</v>
      </c>
      <c s="345" t="s">
        <v>222</v>
      </c>
      <c s="345"/>
      <c s="177">
        <v>200</v>
      </c>
      <c s="177">
        <v>7.2300000000000004</v>
      </c>
      <c s="177">
        <v>9.8100000000000005</v>
      </c>
      <c s="177">
        <v>28.800000000000001</v>
      </c>
      <c s="177">
        <v>225.19999999999999</v>
      </c>
      <c s="177">
        <v>0.22</v>
      </c>
      <c s="177">
        <v>0.20000000000000001</v>
      </c>
      <c s="177">
        <v>1.3</v>
      </c>
      <c s="177">
        <v>0.080000000000000002</v>
      </c>
      <c s="177">
        <v>0</v>
      </c>
      <c s="177">
        <v>142.58000000000001</v>
      </c>
      <c s="177">
        <v>222.38</v>
      </c>
      <c s="177">
        <v>0</v>
      </c>
      <c s="177">
        <v>0.001</v>
      </c>
      <c s="177">
        <v>65.689999999999998</v>
      </c>
      <c s="177">
        <v>1.53</v>
      </c>
    </row>
    <row r="12" spans="2:20" s="176" customFormat="1" ht="17.25" customHeight="1">
      <c r="B12" s="177">
        <v>382</v>
      </c>
      <c s="345" t="s">
        <v>223</v>
      </c>
      <c s="345"/>
      <c s="177">
        <v>200</v>
      </c>
      <c s="177">
        <v>3.5</v>
      </c>
      <c s="177">
        <v>3.7000000000000002</v>
      </c>
      <c s="177">
        <v>25.5</v>
      </c>
      <c s="177">
        <v>149.30000000000001</v>
      </c>
      <c s="177">
        <v>0.059999999999999998</v>
      </c>
      <c s="177">
        <v>0.01</v>
      </c>
      <c s="177">
        <v>1.6000000000000001</v>
      </c>
      <c s="177">
        <v>0.040000000000000001</v>
      </c>
      <c s="177">
        <v>0.40000000000000002</v>
      </c>
      <c s="177">
        <v>102.59999999999999</v>
      </c>
      <c s="177">
        <v>178.40000000000001</v>
      </c>
      <c s="177">
        <v>1</v>
      </c>
      <c s="177">
        <v>0.012999999999999999</v>
      </c>
      <c s="177">
        <v>24.800000000000001</v>
      </c>
      <c s="177">
        <v>1</v>
      </c>
    </row>
    <row r="13" spans="2:20" s="176" customFormat="1" ht="15">
      <c r="B13" s="177" t="s">
        <v>224</v>
      </c>
      <c s="345" t="s">
        <v>161</v>
      </c>
      <c s="345"/>
      <c s="177">
        <v>40</v>
      </c>
      <c s="177">
        <v>3.04</v>
      </c>
      <c s="177">
        <v>0.32000000000000001</v>
      </c>
      <c s="177">
        <v>19.68</v>
      </c>
      <c s="177">
        <v>88.799999999999997</v>
      </c>
      <c s="177">
        <v>0.040000000000000001</v>
      </c>
      <c s="177">
        <v>0.01</v>
      </c>
      <c s="177">
        <v>0.88</v>
      </c>
      <c s="177">
        <v>0</v>
      </c>
      <c s="177">
        <v>0.69999999999999996</v>
      </c>
      <c s="177">
        <v>8</v>
      </c>
      <c s="177">
        <v>26</v>
      </c>
      <c s="177">
        <v>0.0080000000000000002</v>
      </c>
      <c s="177">
        <v>0.0030000000000000001</v>
      </c>
      <c s="177">
        <v>0</v>
      </c>
      <c s="177">
        <v>0.44</v>
      </c>
    </row>
    <row r="14" spans="2:20" s="176" customFormat="1" ht="20.25" customHeight="1">
      <c r="B14" s="368" t="s">
        <v>225</v>
      </c>
      <c s="368"/>
      <c s="368"/>
      <c s="178">
        <f>SUM(E9:E13)</f>
        <v>560</v>
      </c>
      <c s="178">
        <f t="shared" si="0" ref="F14:T14">SUM(F9:F13)</f>
        <v>18.809999999999999</v>
      </c>
      <c s="178">
        <f t="shared" si="0"/>
        <v>21.030000000000001</v>
      </c>
      <c s="178">
        <f t="shared" si="0"/>
        <v>83.800000000000011</v>
      </c>
      <c s="178">
        <f t="shared" si="0"/>
        <v>585.10000000000002</v>
      </c>
      <c s="178">
        <f t="shared" si="0"/>
        <v>0.37</v>
      </c>
      <c s="178">
        <f t="shared" si="0"/>
        <v>0.30000000000000004</v>
      </c>
      <c s="178">
        <f t="shared" si="0"/>
        <v>13.920000000000002</v>
      </c>
      <c s="178">
        <f t="shared" si="0"/>
        <v>0.16600000000000001</v>
      </c>
      <c s="178">
        <f t="shared" si="0"/>
        <v>1.3999999999999999</v>
      </c>
      <c s="178">
        <f t="shared" si="0"/>
        <v>445.18000000000006</v>
      </c>
      <c s="178">
        <f t="shared" si="0"/>
        <v>537.77999999999997</v>
      </c>
      <c s="178">
        <f t="shared" si="0"/>
        <v>1.8080000000000001</v>
      </c>
      <c s="178">
        <f t="shared" si="0"/>
        <v>0.057000000000000002</v>
      </c>
      <c s="178">
        <f t="shared" si="0"/>
        <v>106.48999999999999</v>
      </c>
      <c s="178">
        <f t="shared" si="0"/>
        <v>5.4300000000000006</v>
      </c>
    </row>
    <row r="15" spans="2:20" s="176" customFormat="1" ht="15">
      <c r="B15" s="343" t="s">
        <v>226</v>
      </c>
      <c s="343"/>
      <c s="343"/>
      <c s="343"/>
      <c s="179">
        <f t="shared" si="1" ref="F15:T15">F14/F35</f>
        <v>0.24428571428571427</v>
      </c>
      <c s="179">
        <f t="shared" si="1"/>
        <v>0.26620253164556962</v>
      </c>
      <c s="179">
        <f t="shared" si="1"/>
        <v>0.25014925373134334</v>
      </c>
      <c s="179">
        <f t="shared" si="1"/>
        <v>0.24897872340425534</v>
      </c>
      <c s="179">
        <f t="shared" si="1"/>
        <v>0.30833333333333335</v>
      </c>
      <c s="179">
        <f t="shared" si="1"/>
        <v>0.21428571428571433</v>
      </c>
      <c s="179">
        <f t="shared" si="1"/>
        <v>0.23200000000000004</v>
      </c>
      <c s="179">
        <f t="shared" si="1"/>
        <v>0.23714285714285718</v>
      </c>
      <c s="179">
        <f t="shared" si="1"/>
        <v>0.13999999999999999</v>
      </c>
      <c s="179">
        <f t="shared" si="1"/>
        <v>0.40470909090909096</v>
      </c>
      <c s="179">
        <f t="shared" si="1"/>
        <v>0.48889090909090904</v>
      </c>
      <c s="179">
        <f t="shared" si="1"/>
        <v>0.18080000000000002</v>
      </c>
      <c s="179">
        <f t="shared" si="1"/>
        <v>0.56999999999999995</v>
      </c>
      <c s="179">
        <f t="shared" si="1"/>
        <v>0.42596000000000001</v>
      </c>
      <c s="179">
        <f t="shared" si="1"/>
        <v>0.45250000000000007</v>
      </c>
    </row>
    <row r="16" spans="2:20" s="176" customFormat="1" ht="15">
      <c r="B16" s="178"/>
      <c s="178"/>
      <c s="178"/>
      <c s="178"/>
      <c s="178"/>
      <c s="178"/>
      <c s="178"/>
      <c s="178"/>
      <c s="178"/>
      <c s="178"/>
      <c s="178"/>
      <c s="178"/>
      <c s="178"/>
      <c s="178"/>
      <c s="178"/>
      <c s="178"/>
      <c s="178"/>
      <c s="178"/>
      <c s="178"/>
    </row>
    <row r="17" spans="2:20" s="176" customFormat="1" ht="15">
      <c r="B17" s="343" t="s">
        <v>227</v>
      </c>
      <c s="343"/>
      <c s="343"/>
      <c s="343"/>
      <c s="343"/>
      <c s="343"/>
      <c s="343"/>
      <c s="343"/>
      <c s="343"/>
      <c s="343"/>
      <c s="343"/>
      <c s="343"/>
      <c s="343"/>
      <c s="343"/>
      <c s="343"/>
      <c s="343"/>
      <c s="343"/>
      <c s="343"/>
      <c s="343"/>
    </row>
    <row r="18" spans="2:20" s="176" customFormat="1" ht="16.5" customHeight="1">
      <c r="B18" s="177" t="s">
        <v>228</v>
      </c>
      <c s="345" t="s">
        <v>229</v>
      </c>
      <c s="345"/>
      <c s="177">
        <v>60</v>
      </c>
      <c s="177">
        <v>1.03</v>
      </c>
      <c s="177">
        <v>3</v>
      </c>
      <c s="177">
        <v>5.0800000000000001</v>
      </c>
      <c s="177">
        <v>51.420000000000002</v>
      </c>
      <c s="177">
        <v>0.01</v>
      </c>
      <c s="177">
        <v>0.02</v>
      </c>
      <c s="177">
        <v>11.890000000000001</v>
      </c>
      <c s="177">
        <v>0.01</v>
      </c>
      <c s="177"/>
      <c s="177">
        <v>31.34</v>
      </c>
      <c s="177">
        <v>20.370000000000001</v>
      </c>
      <c s="177"/>
      <c s="177">
        <v>0</v>
      </c>
      <c s="177">
        <v>9.6099999999999994</v>
      </c>
      <c s="177">
        <v>0.40000000000000002</v>
      </c>
    </row>
    <row r="19" spans="2:20" s="176" customFormat="1" ht="30" customHeight="1">
      <c r="B19" s="177">
        <v>45</v>
      </c>
      <c s="345" t="s">
        <v>230</v>
      </c>
      <c s="345"/>
      <c s="177">
        <v>60</v>
      </c>
      <c s="177">
        <v>0.90000000000000002</v>
      </c>
      <c s="177">
        <v>1.3100000000000001</v>
      </c>
      <c s="177">
        <v>5.5999999999999996</v>
      </c>
      <c s="177">
        <v>37.789999999999999</v>
      </c>
      <c s="177">
        <v>0.059999999999999998</v>
      </c>
      <c s="177">
        <v>0.070000000000000007</v>
      </c>
      <c s="177">
        <v>15.5</v>
      </c>
      <c s="177">
        <v>0.070999999999999994</v>
      </c>
      <c s="177">
        <v>0.29999999999999999</v>
      </c>
      <c s="177">
        <v>28.199999999999999</v>
      </c>
      <c s="177">
        <v>18.899999999999999</v>
      </c>
      <c s="177">
        <v>0.20000000000000001</v>
      </c>
      <c s="177">
        <v>0.001</v>
      </c>
      <c s="177">
        <v>10.5</v>
      </c>
      <c s="177">
        <v>0.59999999999999998</v>
      </c>
    </row>
    <row r="20" spans="2:20" s="176" customFormat="1" ht="17.25" customHeight="1">
      <c r="B20" s="177">
        <v>102</v>
      </c>
      <c s="345" t="s">
        <v>231</v>
      </c>
      <c s="345"/>
      <c s="177">
        <v>200</v>
      </c>
      <c s="177">
        <v>4.4000000000000004</v>
      </c>
      <c s="177">
        <v>4.2199999999999998</v>
      </c>
      <c s="177">
        <v>13.220000000000001</v>
      </c>
      <c s="177">
        <v>118.59999999999999</v>
      </c>
      <c s="177">
        <v>0.17999999999999999</v>
      </c>
      <c s="177">
        <v>0.059999999999999998</v>
      </c>
      <c s="177">
        <v>4.6600000000000001</v>
      </c>
      <c s="177">
        <v>0.17999999999999999</v>
      </c>
      <c s="177"/>
      <c s="177">
        <v>34.140000000000001</v>
      </c>
      <c s="177">
        <v>70.480000000000004</v>
      </c>
      <c s="177"/>
      <c s="177"/>
      <c s="177">
        <v>28.460000000000001</v>
      </c>
      <c s="177">
        <v>1.6399999999999999</v>
      </c>
    </row>
    <row r="21" spans="2:20" s="176" customFormat="1" ht="16.5" customHeight="1">
      <c r="B21" s="177">
        <v>260</v>
      </c>
      <c s="345" t="s">
        <v>232</v>
      </c>
      <c s="345"/>
      <c s="177">
        <v>90</v>
      </c>
      <c s="177">
        <v>11.295</v>
      </c>
      <c s="177">
        <v>11.691000000000001</v>
      </c>
      <c s="177">
        <v>3.609</v>
      </c>
      <c s="177">
        <v>164.25</v>
      </c>
      <c s="177">
        <v>0.063</v>
      </c>
      <c s="177">
        <v>0.099000000000000005</v>
      </c>
      <c s="177">
        <v>4.5629999999999997</v>
      </c>
      <c s="177">
        <v>1.341</v>
      </c>
      <c s="177">
        <v>2.0249999999999999</v>
      </c>
      <c s="177">
        <v>27.468</v>
      </c>
      <c s="177">
        <v>107.271</v>
      </c>
      <c s="177"/>
      <c s="177"/>
      <c s="177">
        <v>21.626999999999999</v>
      </c>
      <c s="177">
        <v>1.8899999999999999</v>
      </c>
    </row>
    <row r="22" spans="2:20" s="176" customFormat="1" ht="28.5" customHeight="1">
      <c r="B22" s="177">
        <v>203</v>
      </c>
      <c s="345" t="s">
        <v>233</v>
      </c>
      <c s="345"/>
      <c s="177">
        <v>150</v>
      </c>
      <c s="177">
        <v>5.7000000000000002</v>
      </c>
      <c s="177">
        <v>3.4300000000000002</v>
      </c>
      <c s="177">
        <v>36.450000000000003</v>
      </c>
      <c s="177">
        <v>199.5</v>
      </c>
      <c s="177">
        <v>0.089999999999999997</v>
      </c>
      <c s="177">
        <v>0.029999999999999999</v>
      </c>
      <c s="177">
        <v>0</v>
      </c>
      <c s="177">
        <v>0.029999999999999999</v>
      </c>
      <c s="177">
        <v>1.25</v>
      </c>
      <c s="177">
        <v>13.279999999999999</v>
      </c>
      <c s="177">
        <v>46.210000000000001</v>
      </c>
      <c s="177">
        <v>0.78000000000000003</v>
      </c>
      <c s="177">
        <v>0.002</v>
      </c>
      <c s="177">
        <v>8.4700000000000006</v>
      </c>
      <c s="177">
        <v>0.85999999999999999</v>
      </c>
    </row>
    <row r="23" spans="2:20" s="176" customFormat="1" ht="15">
      <c r="B23" s="177">
        <v>377</v>
      </c>
      <c s="345" t="s">
        <v>149</v>
      </c>
      <c s="345"/>
      <c s="177" t="s">
        <v>234</v>
      </c>
      <c s="177">
        <v>0.26000000000000001</v>
      </c>
      <c s="177">
        <v>0.059999999999999998</v>
      </c>
      <c s="177">
        <v>15.220000000000001</v>
      </c>
      <c s="177">
        <v>62.5</v>
      </c>
      <c s="177"/>
      <c s="177">
        <v>0.01</v>
      </c>
      <c s="177">
        <v>2.8999999999999999</v>
      </c>
      <c s="177">
        <v>0</v>
      </c>
      <c s="177">
        <v>0.059999999999999998</v>
      </c>
      <c s="177">
        <v>8.0500000000000007</v>
      </c>
      <c s="177">
        <v>9.7799999999999994</v>
      </c>
      <c s="177">
        <v>0.02</v>
      </c>
      <c s="177">
        <v>0</v>
      </c>
      <c s="177">
        <v>5.2400000000000002</v>
      </c>
      <c s="177">
        <v>0.87</v>
      </c>
    </row>
    <row r="24" spans="2:20" s="176" customFormat="1" ht="15.75" customHeight="1">
      <c r="B24" s="177" t="s">
        <v>224</v>
      </c>
      <c s="345" t="s">
        <v>235</v>
      </c>
      <c s="345"/>
      <c s="177">
        <v>40</v>
      </c>
      <c s="177">
        <v>2.6400000000000001</v>
      </c>
      <c s="177">
        <v>0.47999999999999998</v>
      </c>
      <c s="177">
        <v>13.68</v>
      </c>
      <c s="177">
        <v>69.599999999999994</v>
      </c>
      <c s="177">
        <v>0.080000000000000002</v>
      </c>
      <c s="177">
        <v>0.040000000000000001</v>
      </c>
      <c s="177">
        <v>0</v>
      </c>
      <c s="177">
        <v>0</v>
      </c>
      <c s="177">
        <v>2.3999999999999999</v>
      </c>
      <c s="177">
        <v>14</v>
      </c>
      <c s="177">
        <v>63.200000000000003</v>
      </c>
      <c s="177">
        <v>1.2</v>
      </c>
      <c s="177">
        <v>0.001</v>
      </c>
      <c s="177">
        <v>9.4000000000000004</v>
      </c>
      <c s="177">
        <v>0.78000000000000003</v>
      </c>
    </row>
    <row r="25" spans="2:20" s="176" customFormat="1" ht="15">
      <c r="B25" s="177" t="s">
        <v>224</v>
      </c>
      <c s="345" t="s">
        <v>117</v>
      </c>
      <c s="345"/>
      <c s="177">
        <v>30</v>
      </c>
      <c s="177">
        <v>1.52</v>
      </c>
      <c s="177">
        <v>0.16</v>
      </c>
      <c s="177">
        <v>9.8399999999999999</v>
      </c>
      <c s="177">
        <v>46.899999999999999</v>
      </c>
      <c s="177">
        <v>0.02</v>
      </c>
      <c s="177">
        <v>0.01</v>
      </c>
      <c s="177">
        <v>0.44</v>
      </c>
      <c s="177">
        <v>0</v>
      </c>
      <c s="177">
        <v>0.69999999999999996</v>
      </c>
      <c s="177">
        <v>4</v>
      </c>
      <c s="177">
        <v>13</v>
      </c>
      <c s="177">
        <v>0.0080000000000000002</v>
      </c>
      <c s="177">
        <v>0.001</v>
      </c>
      <c s="177">
        <v>0</v>
      </c>
      <c s="177">
        <v>0.22</v>
      </c>
    </row>
    <row r="26" spans="2:20" s="176" customFormat="1" ht="20.25" customHeight="1">
      <c r="B26" s="368" t="s">
        <v>236</v>
      </c>
      <c s="368"/>
      <c s="368"/>
      <c s="178">
        <f>E19+E20+E21+E22+E24+E25+204</f>
        <v>774</v>
      </c>
      <c s="178">
        <f>SUM(F19:F25)</f>
        <v>26.715</v>
      </c>
      <c s="178">
        <f t="shared" si="2" ref="G26:T26">SUM(G19:G25)</f>
        <v>21.350999999999999</v>
      </c>
      <c s="178">
        <f t="shared" si="2"/>
        <v>97.619</v>
      </c>
      <c s="178">
        <f t="shared" si="2"/>
        <v>699.13999999999999</v>
      </c>
      <c s="178">
        <f t="shared" si="2"/>
        <v>0.49300000000000005</v>
      </c>
      <c s="178">
        <f t="shared" si="2"/>
        <v>0.31900000000000001</v>
      </c>
      <c s="178">
        <f t="shared" si="2"/>
        <v>28.062999999999999</v>
      </c>
      <c s="178">
        <f t="shared" si="2"/>
        <v>1.6220000000000001</v>
      </c>
      <c s="178">
        <f t="shared" si="2"/>
        <v>6.7350000000000003</v>
      </c>
      <c s="178">
        <f t="shared" si="2"/>
        <v>129.13800000000001</v>
      </c>
      <c s="178">
        <f t="shared" si="2"/>
        <v>328.84100000000001</v>
      </c>
      <c s="178">
        <f t="shared" si="2"/>
        <v>2.2080000000000002</v>
      </c>
      <c s="178">
        <f t="shared" si="2"/>
        <v>0.0050000000000000001</v>
      </c>
      <c s="178">
        <f t="shared" si="2"/>
        <v>83.697000000000003</v>
      </c>
      <c s="178">
        <f t="shared" si="2"/>
        <v>6.8600000000000003</v>
      </c>
    </row>
    <row r="27" spans="2:20" s="176" customFormat="1" ht="15">
      <c r="B27" s="343" t="s">
        <v>226</v>
      </c>
      <c s="343"/>
      <c s="343"/>
      <c s="343"/>
      <c s="179">
        <f t="shared" si="3" ref="F27:T27">F26/F35</f>
        <v>0.34694805194805195</v>
      </c>
      <c s="179">
        <f t="shared" si="3"/>
        <v>0.27026582278481009</v>
      </c>
      <c s="179">
        <f t="shared" si="3"/>
        <v>0.29139999999999999</v>
      </c>
      <c s="179">
        <f t="shared" si="3"/>
        <v>0.29750638297872339</v>
      </c>
      <c s="179">
        <f t="shared" si="3"/>
        <v>0.41083333333333338</v>
      </c>
      <c s="179">
        <f t="shared" si="3"/>
        <v>0.22785714285714287</v>
      </c>
      <c s="179">
        <f t="shared" si="3"/>
        <v>0.46771666666666667</v>
      </c>
      <c s="180">
        <f t="shared" si="3"/>
        <v>2.3171428571428576</v>
      </c>
      <c s="179">
        <f t="shared" si="3"/>
        <v>0.67349999999999999</v>
      </c>
      <c s="179">
        <f t="shared" si="3"/>
        <v>0.11739818181818182</v>
      </c>
      <c s="179">
        <f t="shared" si="3"/>
        <v>0.29894636363636362</v>
      </c>
      <c s="179">
        <f t="shared" si="3"/>
        <v>0.22080000000000002</v>
      </c>
      <c s="179">
        <f t="shared" si="3"/>
        <v>0.049999999999999996</v>
      </c>
      <c s="179">
        <f t="shared" si="3"/>
        <v>0.33478800000000003</v>
      </c>
      <c s="179">
        <f t="shared" si="3"/>
        <v>0.57166666666666666</v>
      </c>
    </row>
    <row r="28" spans="2:20" s="181" customFormat="1" ht="15">
      <c r="B28" s="348" t="s">
        <v>237</v>
      </c>
      <c s="348"/>
      <c s="348"/>
      <c s="348"/>
      <c s="348"/>
      <c s="348"/>
      <c s="348"/>
      <c s="348"/>
      <c s="348"/>
      <c s="348"/>
      <c s="348"/>
      <c s="348"/>
      <c s="348"/>
      <c s="348"/>
      <c s="348"/>
      <c s="348"/>
      <c s="348"/>
      <c s="348"/>
      <c s="348"/>
    </row>
    <row r="29" spans="2:20" s="176" customFormat="1" ht="16.5" customHeight="1">
      <c r="B29" s="177" t="s">
        <v>224</v>
      </c>
      <c s="345" t="s">
        <v>238</v>
      </c>
      <c s="345"/>
      <c s="177">
        <v>100</v>
      </c>
      <c s="177">
        <v>7.8600000000000003</v>
      </c>
      <c s="177">
        <v>5.5700000000000003</v>
      </c>
      <c s="177">
        <v>53.710000000000001</v>
      </c>
      <c s="177">
        <v>297.13999999999999</v>
      </c>
      <c s="177">
        <v>0.10000000000000001</v>
      </c>
      <c s="177">
        <v>0.040000000000000001</v>
      </c>
      <c s="177">
        <v>0</v>
      </c>
      <c s="177">
        <v>0.10000000000000001</v>
      </c>
      <c s="177"/>
      <c s="177">
        <v>16.170000000000002</v>
      </c>
      <c s="177">
        <v>0</v>
      </c>
      <c s="177">
        <v>0</v>
      </c>
      <c s="177">
        <v>0</v>
      </c>
      <c s="177">
        <v>11.19</v>
      </c>
      <c s="177">
        <v>0.90000000000000002</v>
      </c>
    </row>
    <row r="30" spans="2:20" s="176" customFormat="1" ht="25.5" customHeight="1">
      <c r="B30" s="173">
        <v>349</v>
      </c>
      <c s="352" t="s">
        <v>239</v>
      </c>
      <c s="352"/>
      <c s="173">
        <v>200</v>
      </c>
      <c s="173">
        <v>0.22</v>
      </c>
      <c s="173">
        <v>0</v>
      </c>
      <c s="173">
        <v>24.420000000000002</v>
      </c>
      <c s="173">
        <v>98.560000000000002</v>
      </c>
      <c s="173"/>
      <c s="173"/>
      <c s="173">
        <v>0.20000000000000001</v>
      </c>
      <c s="173"/>
      <c s="173"/>
      <c s="173">
        <v>22.600000000000001</v>
      </c>
      <c s="173">
        <v>7.7000000000000002</v>
      </c>
      <c s="173">
        <v>0</v>
      </c>
      <c s="173">
        <v>0</v>
      </c>
      <c s="173">
        <v>3</v>
      </c>
      <c s="173">
        <v>0.66000000000000003</v>
      </c>
    </row>
    <row r="31" spans="2:20" s="176" customFormat="1" ht="13.5" customHeight="1">
      <c r="B31" s="349" t="s">
        <v>240</v>
      </c>
      <c s="350"/>
      <c s="351"/>
      <c s="178">
        <f>E29+E30</f>
        <v>300</v>
      </c>
      <c s="178">
        <f t="shared" si="4" ref="F31:T31">F29+F30</f>
        <v>8.0800000000000001</v>
      </c>
      <c s="178">
        <f t="shared" si="4"/>
        <v>5.5700000000000003</v>
      </c>
      <c s="178">
        <f t="shared" si="4"/>
        <v>78.129999999999995</v>
      </c>
      <c s="178">
        <f t="shared" si="4"/>
        <v>395.69999999999999</v>
      </c>
      <c s="178">
        <f t="shared" si="4"/>
        <v>0.10000000000000001</v>
      </c>
      <c s="178">
        <f t="shared" si="4"/>
        <v>0.040000000000000001</v>
      </c>
      <c s="178">
        <f t="shared" si="4"/>
        <v>0.20000000000000001</v>
      </c>
      <c s="178">
        <f t="shared" si="4"/>
        <v>0.10000000000000001</v>
      </c>
      <c s="178">
        <f t="shared" si="4"/>
        <v>0</v>
      </c>
      <c s="178">
        <f t="shared" si="4"/>
        <v>38.770000000000003</v>
      </c>
      <c s="178">
        <f t="shared" si="4"/>
        <v>7.7000000000000002</v>
      </c>
      <c s="178">
        <f t="shared" si="4"/>
        <v>0</v>
      </c>
      <c s="178">
        <f t="shared" si="4"/>
        <v>0</v>
      </c>
      <c s="178">
        <f t="shared" si="4"/>
        <v>14.19</v>
      </c>
      <c s="178">
        <f t="shared" si="4"/>
        <v>1.5600000000000001</v>
      </c>
    </row>
    <row r="32" spans="2:20" s="176" customFormat="1" ht="15" customHeight="1">
      <c r="B32" s="343" t="s">
        <v>226</v>
      </c>
      <c s="343"/>
      <c s="343"/>
      <c s="343"/>
      <c s="179">
        <f>F31/F35</f>
        <v>0.10493506493506494</v>
      </c>
      <c s="179">
        <f t="shared" si="5" ref="G32:T32">G31/G35</f>
        <v>0.070506329113924057</v>
      </c>
      <c s="179">
        <f t="shared" si="5"/>
        <v>0.2332238805970149</v>
      </c>
      <c s="179">
        <f t="shared" si="5"/>
        <v>0.16838297872340424</v>
      </c>
      <c s="179">
        <f t="shared" si="5"/>
        <v>0.083333333333333343</v>
      </c>
      <c s="179">
        <f t="shared" si="5"/>
        <v>0.028571428571428574</v>
      </c>
      <c s="179">
        <f t="shared" si="5"/>
        <v>0.0033333333333333335</v>
      </c>
      <c s="179">
        <f t="shared" si="5"/>
        <v>0.14285714285714288</v>
      </c>
      <c s="179">
        <f t="shared" si="5"/>
        <v>0</v>
      </c>
      <c s="179">
        <f t="shared" si="5"/>
        <v>0.035245454545454545</v>
      </c>
      <c s="179">
        <f t="shared" si="5"/>
        <v>0.0070000000000000001</v>
      </c>
      <c s="179">
        <f t="shared" si="5"/>
        <v>0</v>
      </c>
      <c s="179">
        <f t="shared" si="5"/>
        <v>0</v>
      </c>
      <c s="179">
        <f t="shared" si="5"/>
        <v>0.056759999999999998</v>
      </c>
      <c s="179">
        <f t="shared" si="5"/>
        <v>0.13</v>
      </c>
    </row>
    <row r="33" spans="2:20" s="176" customFormat="1" ht="15">
      <c r="B33" s="343" t="s">
        <v>226</v>
      </c>
      <c s="343"/>
      <c s="343"/>
      <c s="343"/>
      <c s="179">
        <v>0.085000000000000006</v>
      </c>
      <c s="179">
        <v>0.067000000000000004</v>
      </c>
      <c s="179">
        <v>0.13400000000000001</v>
      </c>
      <c s="179">
        <v>0.108</v>
      </c>
      <c s="179">
        <v>0.060999999999999999</v>
      </c>
      <c s="179">
        <v>0.20999999999999999</v>
      </c>
      <c s="179">
        <v>0.64800000000000002</v>
      </c>
      <c s="179">
        <v>0.105</v>
      </c>
      <c s="179">
        <v>0.10000000000000001</v>
      </c>
      <c s="179">
        <v>0.249</v>
      </c>
      <c s="179">
        <v>0.187</v>
      </c>
      <c s="179">
        <v>0.062</v>
      </c>
      <c s="179">
        <v>0.027</v>
      </c>
      <c s="179">
        <v>0.16400000000000001</v>
      </c>
      <c s="179">
        <v>0.16200000000000001</v>
      </c>
    </row>
    <row r="34" spans="2:20" s="176" customFormat="1" ht="15">
      <c r="B34" s="343" t="s">
        <v>241</v>
      </c>
      <c s="343"/>
      <c s="343"/>
      <c s="343"/>
      <c s="178">
        <f>F14+F26+F31</f>
        <v>53.604999999999997</v>
      </c>
      <c s="178">
        <f t="shared" si="6" ref="G34:T34">G14+G26+G31</f>
        <v>47.951000000000001</v>
      </c>
      <c s="178">
        <f t="shared" si="6"/>
        <v>259.54899999999998</v>
      </c>
      <c s="178">
        <f t="shared" si="6"/>
        <v>1679.9400000000001</v>
      </c>
      <c s="178">
        <f t="shared" si="6"/>
        <v>0.96299999999999997</v>
      </c>
      <c s="178">
        <f t="shared" si="6"/>
        <v>0.65900000000000003</v>
      </c>
      <c s="178">
        <f t="shared" si="6"/>
        <v>42.183000000000007</v>
      </c>
      <c s="178">
        <f t="shared" si="6"/>
        <v>1.8880000000000001</v>
      </c>
      <c s="178">
        <f t="shared" si="6"/>
        <v>8.1349999999999998</v>
      </c>
      <c s="178">
        <f t="shared" si="6"/>
        <v>613.08800000000008</v>
      </c>
      <c s="178">
        <f t="shared" si="6"/>
        <v>874.32100000000003</v>
      </c>
      <c s="178">
        <f t="shared" si="6"/>
        <v>4.016</v>
      </c>
      <c s="178">
        <f t="shared" si="6"/>
        <v>0.062</v>
      </c>
      <c s="178">
        <f t="shared" si="6"/>
        <v>204.37700000000001</v>
      </c>
      <c s="178">
        <f t="shared" si="6"/>
        <v>13.850000000000001</v>
      </c>
    </row>
    <row r="35" spans="2:20" s="176" customFormat="1" ht="15">
      <c r="B35" s="343" t="s">
        <v>242</v>
      </c>
      <c s="343"/>
      <c s="343"/>
      <c s="343"/>
      <c s="177">
        <v>77</v>
      </c>
      <c s="177">
        <v>79</v>
      </c>
      <c s="177">
        <v>335</v>
      </c>
      <c s="177">
        <v>2350</v>
      </c>
      <c s="177">
        <v>1.2</v>
      </c>
      <c s="177">
        <v>1.3999999999999999</v>
      </c>
      <c s="177">
        <v>60</v>
      </c>
      <c s="177">
        <v>0.69999999999999996</v>
      </c>
      <c s="177">
        <v>10</v>
      </c>
      <c s="177">
        <v>1100</v>
      </c>
      <c s="177">
        <v>1100</v>
      </c>
      <c s="177">
        <v>10</v>
      </c>
      <c s="177">
        <v>0.10000000000000001</v>
      </c>
      <c s="177">
        <v>250</v>
      </c>
      <c s="177">
        <v>12</v>
      </c>
    </row>
    <row r="36" spans="2:20" s="176" customFormat="1" ht="15">
      <c r="B36" s="343" t="s">
        <v>226</v>
      </c>
      <c s="343"/>
      <c s="343"/>
      <c s="343"/>
      <c s="179">
        <f>F34/F35</f>
        <v>0.6961688311688311</v>
      </c>
      <c s="179">
        <f t="shared" si="7" ref="G36:T36">G34/G35</f>
        <v>0.60697468354430384</v>
      </c>
      <c s="179">
        <f t="shared" si="7"/>
        <v>0.77477313432835815</v>
      </c>
      <c s="179">
        <f t="shared" si="7"/>
        <v>0.714868085106383</v>
      </c>
      <c s="179">
        <f t="shared" si="7"/>
        <v>0.80249999999999999</v>
      </c>
      <c s="179">
        <f t="shared" si="7"/>
        <v>0.47071428571428575</v>
      </c>
      <c s="179">
        <f t="shared" si="7"/>
        <v>0.70305000000000006</v>
      </c>
      <c s="179">
        <f t="shared" si="7"/>
        <v>2.6971428571428575</v>
      </c>
      <c s="179">
        <f t="shared" si="7"/>
        <v>0.8135</v>
      </c>
      <c s="179">
        <f t="shared" si="7"/>
        <v>0.55735272727272733</v>
      </c>
      <c s="179">
        <f t="shared" si="7"/>
        <v>0.79483727272727278</v>
      </c>
      <c s="179">
        <f t="shared" si="7"/>
        <v>0.40160000000000001</v>
      </c>
      <c s="179">
        <f t="shared" si="7"/>
        <v>0.62</v>
      </c>
      <c s="179">
        <f t="shared" si="7"/>
        <v>0.81750800000000001</v>
      </c>
      <c s="179">
        <f t="shared" si="7"/>
        <v>1.1541666666666668</v>
      </c>
    </row>
    <row r="37" spans="2:20" s="176" customFormat="1" ht="15">
      <c r="B37" s="177"/>
      <c s="177"/>
      <c s="178"/>
      <c s="178"/>
      <c s="177"/>
      <c s="177"/>
      <c s="177"/>
      <c s="177"/>
      <c s="177"/>
      <c s="177"/>
      <c s="177"/>
      <c s="366" t="s">
        <v>187</v>
      </c>
      <c s="366"/>
      <c s="366"/>
      <c s="366"/>
      <c s="366"/>
      <c s="366"/>
      <c s="366"/>
      <c s="366"/>
    </row>
    <row r="38" spans="2:20" s="176" customFormat="1" ht="15">
      <c r="B38" s="343" t="s">
        <v>243</v>
      </c>
      <c s="343"/>
      <c s="343"/>
      <c s="343"/>
      <c s="343"/>
      <c s="343"/>
      <c s="343"/>
      <c s="343"/>
      <c s="343"/>
      <c s="343"/>
      <c s="343"/>
      <c s="343"/>
      <c s="343"/>
      <c s="343"/>
      <c s="343"/>
      <c s="343"/>
      <c s="343"/>
      <c s="343"/>
      <c s="343"/>
    </row>
    <row r="39" spans="2:20" s="176" customFormat="1" ht="15">
      <c r="B39" s="343" t="s">
        <v>189</v>
      </c>
      <c s="343"/>
      <c s="177"/>
      <c s="177"/>
      <c s="177"/>
      <c s="366" t="s">
        <v>244</v>
      </c>
      <c s="366"/>
      <c s="366"/>
      <c s="177"/>
      <c s="177"/>
      <c s="343" t="s">
        <v>191</v>
      </c>
      <c s="343"/>
      <c s="366" t="s">
        <v>192</v>
      </c>
      <c s="366"/>
      <c s="366"/>
      <c s="366"/>
      <c s="177"/>
      <c s="177"/>
      <c s="177"/>
    </row>
    <row r="40" spans="2:20" s="176" customFormat="1" ht="15">
      <c r="B40" s="177"/>
      <c s="177"/>
      <c s="177"/>
      <c s="343" t="s">
        <v>194</v>
      </c>
      <c s="343"/>
      <c s="177">
        <v>1</v>
      </c>
      <c s="177"/>
      <c s="177"/>
      <c s="177"/>
      <c s="177"/>
      <c s="343" t="s">
        <v>195</v>
      </c>
      <c s="343"/>
      <c s="366" t="s">
        <v>196</v>
      </c>
      <c s="366"/>
      <c s="366"/>
      <c s="366"/>
      <c s="366"/>
      <c s="366"/>
      <c s="366"/>
    </row>
    <row r="41" spans="2:20" s="182" customFormat="1" ht="15">
      <c r="B41" s="174" t="s">
        <v>0</v>
      </c>
      <c s="354" t="s">
        <v>198</v>
      </c>
      <c s="354"/>
      <c s="354" t="s">
        <v>199</v>
      </c>
      <c s="354" t="s">
        <v>200</v>
      </c>
      <c s="354"/>
      <c s="354"/>
      <c s="174" t="s">
        <v>201</v>
      </c>
      <c s="354" t="s">
        <v>202</v>
      </c>
      <c s="354"/>
      <c s="354"/>
      <c s="354"/>
      <c s="354"/>
      <c s="354" t="s">
        <v>203</v>
      </c>
      <c s="354"/>
      <c s="354"/>
      <c s="354"/>
      <c s="354"/>
      <c s="354"/>
    </row>
    <row r="42" spans="2:20" s="182" customFormat="1" ht="51">
      <c r="B42" s="174" t="s">
        <v>245</v>
      </c>
      <c s="354"/>
      <c s="354"/>
      <c s="354"/>
      <c s="174" t="s">
        <v>204</v>
      </c>
      <c s="174" t="s">
        <v>205</v>
      </c>
      <c s="174" t="s">
        <v>206</v>
      </c>
      <c s="174" t="s">
        <v>207</v>
      </c>
      <c s="174" t="s">
        <v>208</v>
      </c>
      <c s="174" t="s">
        <v>209</v>
      </c>
      <c s="174" t="s">
        <v>210</v>
      </c>
      <c s="174" t="s">
        <v>211</v>
      </c>
      <c s="174" t="s">
        <v>212</v>
      </c>
      <c s="174" t="s">
        <v>213</v>
      </c>
      <c s="174" t="s">
        <v>214</v>
      </c>
      <c s="174" t="s">
        <v>215</v>
      </c>
      <c s="174" t="s">
        <v>216</v>
      </c>
      <c s="174" t="s">
        <v>217</v>
      </c>
      <c s="174" t="s">
        <v>218</v>
      </c>
    </row>
    <row r="43" spans="2:20" s="176" customFormat="1" ht="15">
      <c r="B43" s="183">
        <v>1</v>
      </c>
      <c s="367">
        <v>2</v>
      </c>
      <c s="367"/>
      <c s="183">
        <v>3</v>
      </c>
      <c s="183">
        <v>4</v>
      </c>
      <c s="183">
        <v>5</v>
      </c>
      <c s="183">
        <v>6</v>
      </c>
      <c s="183">
        <v>7</v>
      </c>
      <c s="183">
        <v>8</v>
      </c>
      <c s="183">
        <v>9</v>
      </c>
      <c s="183">
        <v>10</v>
      </c>
      <c s="183">
        <v>11</v>
      </c>
      <c s="183">
        <v>12</v>
      </c>
      <c s="183">
        <v>13</v>
      </c>
      <c s="183">
        <v>14</v>
      </c>
      <c s="183">
        <v>15</v>
      </c>
      <c s="183">
        <v>16</v>
      </c>
      <c s="183">
        <v>17</v>
      </c>
      <c s="183">
        <v>18</v>
      </c>
    </row>
    <row r="44" spans="2:20" s="176" customFormat="1" ht="15">
      <c r="B44" s="343" t="s">
        <v>246</v>
      </c>
      <c s="343"/>
      <c s="343"/>
      <c s="343"/>
      <c s="343"/>
      <c s="343"/>
      <c s="343"/>
      <c s="343"/>
      <c s="343"/>
      <c s="343"/>
      <c s="343"/>
      <c s="343"/>
      <c s="343"/>
      <c s="343"/>
      <c s="343"/>
      <c s="343"/>
      <c s="343"/>
      <c s="343"/>
      <c s="343"/>
    </row>
    <row r="45" spans="2:20" s="185" customFormat="1" ht="25.5" customHeight="1">
      <c r="B45" s="241" t="s">
        <v>340</v>
      </c>
      <c s="344" t="s">
        <v>339</v>
      </c>
      <c s="344"/>
      <c s="177">
        <v>40</v>
      </c>
      <c s="242">
        <v>1.1200000000000001</v>
      </c>
      <c s="242">
        <v>0</v>
      </c>
      <c s="242">
        <v>0.52000000000000002</v>
      </c>
      <c s="241">
        <v>6.4400000000000004</v>
      </c>
      <c s="242">
        <v>0</v>
      </c>
      <c s="242">
        <v>0</v>
      </c>
      <c s="242">
        <v>0</v>
      </c>
      <c s="242">
        <v>0</v>
      </c>
      <c s="242">
        <v>0</v>
      </c>
      <c s="242">
        <v>0</v>
      </c>
      <c s="242">
        <v>0</v>
      </c>
      <c s="242">
        <v>0</v>
      </c>
      <c s="242">
        <v>0</v>
      </c>
      <c s="242">
        <v>0</v>
      </c>
      <c s="242">
        <v>0</v>
      </c>
    </row>
    <row r="46" spans="2:20" s="176" customFormat="1" ht="29.25" customHeight="1">
      <c r="B46" s="184">
        <v>71</v>
      </c>
      <c s="345" t="s">
        <v>338</v>
      </c>
      <c s="345"/>
      <c s="184">
        <v>40</v>
      </c>
      <c s="184">
        <v>0.33000000000000002</v>
      </c>
      <c s="184">
        <v>0.040000000000000001</v>
      </c>
      <c s="184">
        <v>1.1299999999999999</v>
      </c>
      <c s="184">
        <v>6.2300000000000004</v>
      </c>
      <c s="184">
        <v>0.0089999999999999993</v>
      </c>
      <c s="184">
        <v>0.01</v>
      </c>
      <c s="184">
        <v>3</v>
      </c>
      <c s="184">
        <v>0.0030000000000000001</v>
      </c>
      <c s="184">
        <v>0.029999999999999999</v>
      </c>
      <c s="184">
        <v>6.9000000000000004</v>
      </c>
      <c s="184">
        <v>12.6</v>
      </c>
      <c s="184">
        <v>0.064000000000000001</v>
      </c>
      <c s="184">
        <v>0.001</v>
      </c>
      <c s="184">
        <v>4.2000000000000002</v>
      </c>
      <c s="184">
        <v>0.17999999999999999</v>
      </c>
    </row>
    <row r="47" spans="2:20" s="176" customFormat="1" ht="26.25" customHeight="1">
      <c r="B47" s="184" t="s">
        <v>248</v>
      </c>
      <c s="345" t="s">
        <v>114</v>
      </c>
      <c s="345"/>
      <c s="184">
        <v>90</v>
      </c>
      <c s="184">
        <v>10.26</v>
      </c>
      <c s="184">
        <v>10.08</v>
      </c>
      <c s="184">
        <v>12.15</v>
      </c>
      <c s="184">
        <v>181.80000000000001</v>
      </c>
      <c s="184">
        <v>0.070000000000000007</v>
      </c>
      <c s="184">
        <v>0.12</v>
      </c>
      <c s="184">
        <v>0.90000000000000002</v>
      </c>
      <c s="184">
        <v>0.070000000000000007</v>
      </c>
      <c s="184"/>
      <c s="184">
        <v>28.800000000000001</v>
      </c>
      <c s="184">
        <v>0</v>
      </c>
      <c s="184">
        <v>2.5649999999999999</v>
      </c>
      <c s="184"/>
      <c s="184">
        <v>23.489999999999998</v>
      </c>
      <c s="184">
        <v>0</v>
      </c>
    </row>
    <row r="48" spans="2:20" s="176" customFormat="1" ht="16.5" customHeight="1">
      <c r="B48" s="177">
        <v>304</v>
      </c>
      <c s="345" t="s">
        <v>249</v>
      </c>
      <c s="345"/>
      <c s="177">
        <v>150</v>
      </c>
      <c s="177">
        <v>3.7000000000000002</v>
      </c>
      <c s="177">
        <v>5.3700000000000001</v>
      </c>
      <c s="177">
        <v>36.68</v>
      </c>
      <c s="177">
        <v>209.84999999999999</v>
      </c>
      <c s="177">
        <v>0.029999999999999999</v>
      </c>
      <c s="177">
        <v>0.02</v>
      </c>
      <c s="177">
        <v>0</v>
      </c>
      <c s="177">
        <v>0.040000000000000001</v>
      </c>
      <c s="177">
        <v>0</v>
      </c>
      <c s="177">
        <v>14.9</v>
      </c>
      <c s="177">
        <v>79.400000000000006</v>
      </c>
      <c s="177">
        <v>0</v>
      </c>
      <c s="177">
        <v>0.001</v>
      </c>
      <c s="177">
        <v>27.899999999999999</v>
      </c>
      <c s="177">
        <v>0.58999999999999997</v>
      </c>
    </row>
    <row r="49" spans="2:20" s="176" customFormat="1" ht="18" customHeight="1">
      <c r="B49" s="177">
        <v>379</v>
      </c>
      <c s="345" t="s">
        <v>250</v>
      </c>
      <c s="345"/>
      <c s="177">
        <v>200</v>
      </c>
      <c s="177">
        <v>3.1699999999999999</v>
      </c>
      <c s="177">
        <v>2.6800000000000002</v>
      </c>
      <c s="177">
        <v>15.949999999999999</v>
      </c>
      <c s="177">
        <v>100.59999999999999</v>
      </c>
      <c s="177">
        <v>0.040000000000000001</v>
      </c>
      <c s="177">
        <v>0.14999999999999999</v>
      </c>
      <c s="177">
        <v>1.3</v>
      </c>
      <c s="177">
        <v>0.029999999999999999</v>
      </c>
      <c s="177">
        <v>0.059999999999999998</v>
      </c>
      <c s="177">
        <v>120.40000000000001</v>
      </c>
      <c s="177">
        <v>90</v>
      </c>
      <c s="177">
        <v>1.1000000000000001</v>
      </c>
      <c s="177">
        <v>0.01</v>
      </c>
      <c s="177">
        <v>14</v>
      </c>
      <c s="177">
        <v>0.12</v>
      </c>
    </row>
    <row r="50" spans="2:20" s="176" customFormat="1" ht="15">
      <c r="B50" s="177" t="s">
        <v>224</v>
      </c>
      <c s="345" t="s">
        <v>161</v>
      </c>
      <c s="345"/>
      <c s="177">
        <v>40</v>
      </c>
      <c s="177">
        <v>3.04</v>
      </c>
      <c s="177">
        <v>0.32000000000000001</v>
      </c>
      <c s="177">
        <v>19.68</v>
      </c>
      <c s="177">
        <v>93.799999999999997</v>
      </c>
      <c s="177">
        <v>0.040000000000000001</v>
      </c>
      <c s="177">
        <v>0.01</v>
      </c>
      <c s="177">
        <v>0.88</v>
      </c>
      <c s="177">
        <v>0</v>
      </c>
      <c s="177">
        <v>0.69999999999999996</v>
      </c>
      <c s="177">
        <v>8</v>
      </c>
      <c s="177">
        <v>26</v>
      </c>
      <c s="177">
        <v>0.0080000000000000002</v>
      </c>
      <c s="177">
        <v>0.0030000000000000001</v>
      </c>
      <c s="177">
        <v>0</v>
      </c>
      <c s="177">
        <v>0.44</v>
      </c>
    </row>
    <row r="51" spans="2:20" s="176" customFormat="1" ht="15">
      <c r="B51" s="186" t="s">
        <v>251</v>
      </c>
      <c s="187"/>
      <c s="178"/>
      <c s="178">
        <f>SUM(E46:E50)</f>
        <v>520</v>
      </c>
      <c s="178">
        <f t="shared" si="8" ref="F51:T51">SUM(F46:F50)</f>
        <v>20.5</v>
      </c>
      <c s="178">
        <f t="shared" si="8"/>
        <v>18.489999999999998</v>
      </c>
      <c s="178">
        <f t="shared" si="8"/>
        <v>85.590000000000003</v>
      </c>
      <c s="178">
        <f t="shared" si="8"/>
        <v>592.27999999999997</v>
      </c>
      <c s="178">
        <f t="shared" si="8"/>
        <v>0.189</v>
      </c>
      <c s="178">
        <f t="shared" si="8"/>
        <v>0.31</v>
      </c>
      <c s="178">
        <f t="shared" si="8"/>
        <v>6.0800000000000001</v>
      </c>
      <c s="178">
        <f t="shared" si="8"/>
        <v>0.14300000000000002</v>
      </c>
      <c s="178">
        <f t="shared" si="8"/>
        <v>0.78999999999999992</v>
      </c>
      <c s="178">
        <f t="shared" si="8"/>
        <v>179</v>
      </c>
      <c s="178">
        <f t="shared" si="8"/>
        <v>208</v>
      </c>
      <c s="178">
        <f t="shared" si="8"/>
        <v>3.7370000000000001</v>
      </c>
      <c s="178">
        <f t="shared" si="8"/>
        <v>0.014999999999999999</v>
      </c>
      <c s="178">
        <f t="shared" si="8"/>
        <v>69.590000000000003</v>
      </c>
      <c s="178">
        <f t="shared" si="8"/>
        <v>1.3300000000000001</v>
      </c>
    </row>
    <row r="52" spans="2:20" s="176" customFormat="1" ht="15">
      <c r="B52" s="343" t="s">
        <v>226</v>
      </c>
      <c s="343"/>
      <c s="343"/>
      <c s="343"/>
      <c s="179">
        <f>F51/F69</f>
        <v>0.26623376623376621</v>
      </c>
      <c s="179">
        <v>0.40100000000000002</v>
      </c>
      <c s="179">
        <v>0.23200000000000001</v>
      </c>
      <c s="179">
        <v>0.29899999999999999</v>
      </c>
      <c s="179">
        <v>0.26800000000000002</v>
      </c>
      <c s="179">
        <v>0.23200000000000001</v>
      </c>
      <c s="179">
        <v>0.094</v>
      </c>
      <c s="179">
        <v>0.16900000000000001</v>
      </c>
      <c s="179">
        <v>0.080000000000000002</v>
      </c>
      <c s="179">
        <v>0.186</v>
      </c>
      <c s="179">
        <v>0.371</v>
      </c>
      <c s="179">
        <v>0.374</v>
      </c>
      <c s="179">
        <v>0.59999999999999998</v>
      </c>
      <c s="179">
        <v>0.29399999999999998</v>
      </c>
      <c s="179">
        <v>0.29199999999999998</v>
      </c>
    </row>
    <row r="53" spans="2:20" s="176" customFormat="1" ht="15">
      <c r="B53" s="343" t="s">
        <v>227</v>
      </c>
      <c s="343"/>
      <c s="343"/>
      <c s="343"/>
      <c s="343"/>
      <c s="343"/>
      <c s="343"/>
      <c s="343"/>
      <c s="343"/>
      <c s="343"/>
      <c s="343"/>
      <c s="343"/>
      <c s="343"/>
      <c s="343"/>
      <c s="343"/>
      <c s="343"/>
      <c s="343"/>
      <c s="343"/>
      <c s="343"/>
    </row>
    <row r="54" spans="2:20" s="176" customFormat="1" ht="26.25" customHeight="1">
      <c r="B54" s="177">
        <v>52</v>
      </c>
      <c s="345" t="s">
        <v>252</v>
      </c>
      <c s="345"/>
      <c s="177">
        <v>60</v>
      </c>
      <c s="177">
        <v>0.85999999999999999</v>
      </c>
      <c s="177">
        <v>3.0499999999999998</v>
      </c>
      <c s="177">
        <v>5.1299999999999999</v>
      </c>
      <c s="177">
        <v>51.409999999999997</v>
      </c>
      <c s="177">
        <v>0.01</v>
      </c>
      <c s="177">
        <v>0.02</v>
      </c>
      <c s="177">
        <v>5.7000000000000002</v>
      </c>
      <c s="177">
        <v>0.01</v>
      </c>
      <c s="177">
        <v>0.10000000000000001</v>
      </c>
      <c s="177">
        <v>26.609999999999999</v>
      </c>
      <c s="177">
        <v>25.640000000000001</v>
      </c>
      <c s="177">
        <v>0.42999999999999999</v>
      </c>
      <c s="177">
        <v>0.01</v>
      </c>
      <c s="177">
        <v>12.9</v>
      </c>
      <c s="177">
        <v>0.83999999999999997</v>
      </c>
    </row>
    <row r="55" spans="2:20" s="176" customFormat="1" ht="30" customHeight="1">
      <c r="B55" s="177">
        <v>101</v>
      </c>
      <c s="345" t="s">
        <v>253</v>
      </c>
      <c s="345"/>
      <c s="177">
        <v>200</v>
      </c>
      <c s="177">
        <v>2.3599999999999999</v>
      </c>
      <c s="177">
        <v>2.6000000000000001</v>
      </c>
      <c s="177">
        <v>14.800000000000001</v>
      </c>
      <c s="177">
        <v>92.159999999999997</v>
      </c>
      <c s="177">
        <v>0.10000000000000001</v>
      </c>
      <c s="177">
        <v>0.059999999999999998</v>
      </c>
      <c s="177">
        <v>5.2800000000000002</v>
      </c>
      <c s="177">
        <v>0.16</v>
      </c>
      <c s="177">
        <v>1.52</v>
      </c>
      <c s="177">
        <v>22.399999999999999</v>
      </c>
      <c s="177">
        <v>61.780000000000001</v>
      </c>
      <c s="177"/>
      <c s="177">
        <v>0.0039199999999999999</v>
      </c>
      <c s="177">
        <v>32.079999999999998</v>
      </c>
      <c s="177">
        <v>1.24</v>
      </c>
    </row>
    <row r="56" spans="2:20" s="176" customFormat="1" ht="15.75" customHeight="1">
      <c r="B56" s="188" t="s">
        <v>254</v>
      </c>
      <c s="345" t="s">
        <v>255</v>
      </c>
      <c s="345"/>
      <c s="177">
        <v>90</v>
      </c>
      <c s="177">
        <v>8.6999999999999993</v>
      </c>
      <c s="177">
        <v>4.7300000000000004</v>
      </c>
      <c s="177">
        <v>3.6699999999999999</v>
      </c>
      <c s="177">
        <v>91.5</v>
      </c>
      <c s="177"/>
      <c s="177"/>
      <c s="177">
        <v>2.0499999999999998</v>
      </c>
      <c s="177"/>
      <c s="177"/>
      <c s="177">
        <v>35.869999999999997</v>
      </c>
      <c s="177"/>
      <c s="177"/>
      <c s="177"/>
      <c s="177">
        <v>0</v>
      </c>
      <c s="177">
        <v>0.69999999999999996</v>
      </c>
    </row>
    <row r="57" spans="2:20" s="176" customFormat="1" ht="25.5" customHeight="1">
      <c r="B57" s="177">
        <v>312</v>
      </c>
      <c s="345" t="s">
        <v>256</v>
      </c>
      <c s="345"/>
      <c s="177">
        <v>150</v>
      </c>
      <c s="177">
        <v>3.29</v>
      </c>
      <c s="177">
        <v>7.0599999999999996</v>
      </c>
      <c s="177">
        <v>22.210000000000001</v>
      </c>
      <c s="177">
        <v>165.53999999999999</v>
      </c>
      <c s="177">
        <v>0.16</v>
      </c>
      <c s="177">
        <v>0.13</v>
      </c>
      <c s="177">
        <v>26.109999999999999</v>
      </c>
      <c s="177">
        <v>0.080000000000000002</v>
      </c>
      <c s="177">
        <v>1.5</v>
      </c>
      <c s="177">
        <v>42.539999999999999</v>
      </c>
      <c s="177">
        <v>97.799999999999997</v>
      </c>
      <c s="177">
        <v>0.29899999999999999</v>
      </c>
      <c s="177">
        <v>0.001</v>
      </c>
      <c s="177">
        <v>33.060000000000002</v>
      </c>
      <c s="177">
        <v>1.1899999999999999</v>
      </c>
    </row>
    <row r="58" spans="2:20" s="176" customFormat="1" ht="25.5" customHeight="1">
      <c r="B58" s="177">
        <v>349</v>
      </c>
      <c s="345" t="s">
        <v>239</v>
      </c>
      <c s="345"/>
      <c s="177">
        <v>200</v>
      </c>
      <c s="177">
        <v>0.22</v>
      </c>
      <c s="177"/>
      <c s="177">
        <v>24.420000000000002</v>
      </c>
      <c s="177">
        <v>98.560000000000002</v>
      </c>
      <c s="177"/>
      <c s="177"/>
      <c s="177">
        <v>0.20000000000000001</v>
      </c>
      <c s="177"/>
      <c s="177"/>
      <c s="177">
        <v>22.600000000000001</v>
      </c>
      <c s="177">
        <v>7.7000000000000002</v>
      </c>
      <c s="177">
        <v>0</v>
      </c>
      <c s="177">
        <v>0</v>
      </c>
      <c s="177">
        <v>3</v>
      </c>
      <c s="177">
        <v>0.66000000000000003</v>
      </c>
    </row>
    <row r="59" spans="2:20" s="176" customFormat="1" ht="18" customHeight="1">
      <c r="B59" s="177" t="s">
        <v>224</v>
      </c>
      <c s="345" t="s">
        <v>235</v>
      </c>
      <c s="345"/>
      <c s="177">
        <v>40</v>
      </c>
      <c s="177">
        <v>2.6400000000000001</v>
      </c>
      <c s="177">
        <v>0.47999999999999998</v>
      </c>
      <c s="177">
        <v>13.68</v>
      </c>
      <c s="177">
        <v>69.599999999999994</v>
      </c>
      <c s="177">
        <v>0.080000000000000002</v>
      </c>
      <c s="177">
        <v>0.040000000000000001</v>
      </c>
      <c s="177">
        <v>0</v>
      </c>
      <c s="177">
        <v>0</v>
      </c>
      <c s="177">
        <v>2.3999999999999999</v>
      </c>
      <c s="177">
        <v>14</v>
      </c>
      <c s="177">
        <v>63.200000000000003</v>
      </c>
      <c s="177">
        <v>1.2</v>
      </c>
      <c s="177">
        <v>0.001</v>
      </c>
      <c s="177">
        <v>9.4000000000000004</v>
      </c>
      <c s="177">
        <v>0.78000000000000003</v>
      </c>
    </row>
    <row r="60" spans="2:20" s="176" customFormat="1" ht="15">
      <c r="B60" s="177" t="s">
        <v>224</v>
      </c>
      <c s="345" t="s">
        <v>117</v>
      </c>
      <c s="345"/>
      <c s="177">
        <v>30</v>
      </c>
      <c s="177">
        <v>1.52</v>
      </c>
      <c s="177">
        <v>0.16</v>
      </c>
      <c s="177">
        <v>9.8399999999999999</v>
      </c>
      <c s="177">
        <v>46.899999999999999</v>
      </c>
      <c s="177">
        <v>0.02</v>
      </c>
      <c s="177">
        <v>0.01</v>
      </c>
      <c s="177">
        <v>0.44</v>
      </c>
      <c s="177">
        <v>0</v>
      </c>
      <c s="177">
        <v>0.69999999999999996</v>
      </c>
      <c s="177">
        <v>4</v>
      </c>
      <c s="177">
        <v>13</v>
      </c>
      <c s="177">
        <v>0.0080000000000000002</v>
      </c>
      <c s="177">
        <v>0.001</v>
      </c>
      <c s="177">
        <v>0</v>
      </c>
      <c s="177">
        <v>0.22</v>
      </c>
    </row>
    <row r="61" spans="2:20" s="176" customFormat="1" ht="27" customHeight="1">
      <c r="B61" s="343" t="s">
        <v>236</v>
      </c>
      <c s="343"/>
      <c s="343"/>
      <c s="178">
        <f>SUM(E54:E60)</f>
        <v>770</v>
      </c>
      <c s="178">
        <f t="shared" si="9" ref="F61:T61">SUM(F54:F60)</f>
        <v>19.589999999999996</v>
      </c>
      <c s="178">
        <f t="shared" si="9"/>
        <v>18.080000000000002</v>
      </c>
      <c s="178">
        <f t="shared" si="9"/>
        <v>93.75</v>
      </c>
      <c s="178">
        <f t="shared" si="9"/>
        <v>615.66999999999996</v>
      </c>
      <c s="178">
        <f t="shared" si="9"/>
        <v>0.37000000000000005</v>
      </c>
      <c s="178">
        <f t="shared" si="9"/>
        <v>0.26000000000000001</v>
      </c>
      <c s="178">
        <f t="shared" si="9"/>
        <v>39.780000000000001</v>
      </c>
      <c s="178">
        <f t="shared" si="9"/>
        <v>0.25</v>
      </c>
      <c s="178">
        <f t="shared" si="9"/>
        <v>6.2199999999999998</v>
      </c>
      <c s="178">
        <f t="shared" si="9"/>
        <v>168.01999999999998</v>
      </c>
      <c s="178">
        <f t="shared" si="9"/>
        <v>269.12</v>
      </c>
      <c s="178">
        <f t="shared" si="9"/>
        <v>1.9369999999999998</v>
      </c>
      <c s="178">
        <f t="shared" si="9"/>
        <v>0.016920000000000001</v>
      </c>
      <c s="178">
        <f t="shared" si="9"/>
        <v>90.439999999999998</v>
      </c>
      <c s="178">
        <f t="shared" si="9"/>
        <v>5.6299999999999999</v>
      </c>
    </row>
    <row r="62" spans="2:20" s="176" customFormat="1" ht="15">
      <c r="B62" s="343" t="s">
        <v>226</v>
      </c>
      <c s="343"/>
      <c s="343"/>
      <c s="343"/>
      <c s="179">
        <f t="shared" si="10" ref="F62:T62">F61/F69</f>
        <v>0.25441558441558437</v>
      </c>
      <c s="179">
        <f t="shared" si="10"/>
        <v>0.22886075949367091</v>
      </c>
      <c s="179">
        <f t="shared" si="10"/>
        <v>0.27985074626865669</v>
      </c>
      <c s="179">
        <f t="shared" si="10"/>
        <v>0.2619872340425532</v>
      </c>
      <c s="179">
        <f t="shared" si="10"/>
        <v>0.3083333333333334</v>
      </c>
      <c s="179">
        <f t="shared" si="10"/>
        <v>0.18571428571428572</v>
      </c>
      <c s="179">
        <f t="shared" si="10"/>
        <v>0.66300000000000003</v>
      </c>
      <c s="179">
        <f t="shared" si="10"/>
        <v>0.35714285714285715</v>
      </c>
      <c s="179">
        <f t="shared" si="10"/>
        <v>0.622</v>
      </c>
      <c s="179">
        <f t="shared" si="10"/>
        <v>0.15274545454545452</v>
      </c>
      <c s="179">
        <f t="shared" si="10"/>
        <v>0.24465454545454546</v>
      </c>
      <c s="179">
        <f t="shared" si="10"/>
        <v>0.19369999999999998</v>
      </c>
      <c s="179">
        <f t="shared" si="10"/>
        <v>0.16919999999999999</v>
      </c>
      <c s="179">
        <f t="shared" si="10"/>
        <v>0.36175999999999997</v>
      </c>
      <c s="179">
        <f t="shared" si="10"/>
        <v>0.46916666666666668</v>
      </c>
    </row>
    <row r="63" spans="2:20" s="176" customFormat="1" ht="15">
      <c r="B63" s="348" t="s">
        <v>237</v>
      </c>
      <c s="348"/>
      <c s="348"/>
      <c s="348"/>
      <c s="348"/>
      <c s="348"/>
      <c s="348"/>
      <c s="348"/>
      <c s="348"/>
      <c s="348"/>
      <c s="348"/>
      <c s="348"/>
      <c s="348"/>
      <c s="348"/>
      <c s="348"/>
      <c s="348"/>
      <c s="348"/>
      <c s="348"/>
      <c s="348"/>
    </row>
    <row r="64" spans="2:20" s="176" customFormat="1" ht="17.25" customHeight="1">
      <c r="B64" s="177" t="s">
        <v>224</v>
      </c>
      <c s="345" t="s">
        <v>257</v>
      </c>
      <c s="345"/>
      <c s="177">
        <v>80</v>
      </c>
      <c s="177">
        <v>5.9500000000000002</v>
      </c>
      <c s="177">
        <v>6.0499999999999998</v>
      </c>
      <c s="177">
        <v>38.219999999999999</v>
      </c>
      <c s="177">
        <v>231.11000000000001</v>
      </c>
      <c s="177">
        <v>0.059999999999999998</v>
      </c>
      <c s="177">
        <v>0.059999999999999998</v>
      </c>
      <c s="177">
        <v>0.02</v>
      </c>
      <c s="177">
        <v>0.059999999999999998</v>
      </c>
      <c s="177"/>
      <c s="177">
        <v>19.489999999999998</v>
      </c>
      <c s="177">
        <v>55.890000000000001</v>
      </c>
      <c s="177"/>
      <c s="177">
        <v>0</v>
      </c>
      <c s="177">
        <v>8.2699999999999996</v>
      </c>
      <c s="177">
        <v>0.69999999999999996</v>
      </c>
    </row>
    <row r="65" spans="2:20" s="176" customFormat="1" ht="18.75" customHeight="1">
      <c r="B65" s="173">
        <v>386</v>
      </c>
      <c s="352" t="s">
        <v>258</v>
      </c>
      <c s="352"/>
      <c s="173">
        <v>200</v>
      </c>
      <c s="173">
        <v>5.7999999999999998</v>
      </c>
      <c s="173">
        <v>5</v>
      </c>
      <c s="173">
        <v>8</v>
      </c>
      <c s="173">
        <v>100.2</v>
      </c>
      <c s="173">
        <v>0.040000000000000001</v>
      </c>
      <c s="173">
        <v>0.26000000000000001</v>
      </c>
      <c s="173">
        <v>0.59999999999999998</v>
      </c>
      <c s="173">
        <v>0.040000000000000001</v>
      </c>
      <c s="173">
        <v>0.001</v>
      </c>
      <c s="173">
        <v>240</v>
      </c>
      <c s="173">
        <v>184</v>
      </c>
      <c s="173">
        <v>0.40000000000000002</v>
      </c>
      <c s="173">
        <v>0.001</v>
      </c>
      <c s="173">
        <v>28</v>
      </c>
      <c s="173">
        <v>0.20000000000000001</v>
      </c>
    </row>
    <row r="66" spans="2:20" s="176" customFormat="1" ht="17.25" customHeight="1">
      <c r="B66" s="349" t="s">
        <v>240</v>
      </c>
      <c s="350"/>
      <c s="351"/>
      <c s="178">
        <f>E65+E64</f>
        <v>280</v>
      </c>
      <c s="178">
        <f t="shared" si="11" ref="F66:T66">F65+F64</f>
        <v>11.75</v>
      </c>
      <c s="178">
        <f>G65+G64</f>
        <v>11.050000000000001</v>
      </c>
      <c s="178">
        <f t="shared" si="11"/>
        <v>46.219999999999999</v>
      </c>
      <c s="178">
        <f t="shared" si="11"/>
        <v>331.31</v>
      </c>
      <c s="178">
        <f t="shared" si="11"/>
        <v>0.10000000000000001</v>
      </c>
      <c s="178">
        <f t="shared" si="11"/>
        <v>0.32000000000000001</v>
      </c>
      <c s="178">
        <f t="shared" si="11"/>
        <v>0.62</v>
      </c>
      <c s="178">
        <f t="shared" si="11"/>
        <v>0.10000000000000001</v>
      </c>
      <c s="178">
        <f t="shared" si="11"/>
        <v>0.001</v>
      </c>
      <c s="178">
        <f t="shared" si="11"/>
        <v>259.49000000000001</v>
      </c>
      <c s="178">
        <f t="shared" si="11"/>
        <v>239.88999999999999</v>
      </c>
      <c s="178">
        <f t="shared" si="11"/>
        <v>0.40000000000000002</v>
      </c>
      <c s="178">
        <f t="shared" si="11"/>
        <v>0.001</v>
      </c>
      <c s="178">
        <f t="shared" si="11"/>
        <v>36.269999999999996</v>
      </c>
      <c s="178">
        <f t="shared" si="11"/>
        <v>0.89999999999999991</v>
      </c>
    </row>
    <row r="67" spans="2:20" s="176" customFormat="1" ht="15" customHeight="1">
      <c r="B67" s="343" t="s">
        <v>226</v>
      </c>
      <c s="343"/>
      <c s="343"/>
      <c s="343"/>
      <c s="179">
        <f t="shared" si="12" ref="F67:T67">F66/F69</f>
        <v>0.15259740259740259</v>
      </c>
      <c s="179">
        <f t="shared" si="12"/>
        <v>0.13987341772151898</v>
      </c>
      <c s="179">
        <f t="shared" si="12"/>
        <v>0.13797014925373133</v>
      </c>
      <c s="179">
        <f t="shared" si="12"/>
        <v>0.14098297872340426</v>
      </c>
      <c s="179">
        <f t="shared" si="12"/>
        <v>0.083333333333333343</v>
      </c>
      <c s="179">
        <f t="shared" si="12"/>
        <v>0.22857142857142859</v>
      </c>
      <c s="179">
        <f t="shared" si="12"/>
        <v>0.010333333333333333</v>
      </c>
      <c s="179">
        <f t="shared" si="12"/>
        <v>0.14285714285714288</v>
      </c>
      <c s="179">
        <f t="shared" si="12"/>
        <v>0.0001</v>
      </c>
      <c s="179">
        <f t="shared" si="12"/>
        <v>0.2359</v>
      </c>
      <c s="179">
        <f t="shared" si="12"/>
        <v>0.21808181818181818</v>
      </c>
      <c s="179">
        <f t="shared" si="12"/>
        <v>0.040000000000000001</v>
      </c>
      <c s="179">
        <f t="shared" si="12"/>
        <v>0.01</v>
      </c>
      <c s="179">
        <f t="shared" si="12"/>
        <v>0.14507999999999999</v>
      </c>
      <c s="179">
        <f t="shared" si="12"/>
        <v>0.074999999999999997</v>
      </c>
    </row>
    <row r="68" spans="2:20" s="176" customFormat="1" ht="15">
      <c r="B68" s="343" t="s">
        <v>241</v>
      </c>
      <c s="343"/>
      <c s="343"/>
      <c s="343"/>
      <c s="178">
        <f>F66+F61+F51</f>
        <v>51.839999999999996</v>
      </c>
      <c s="178">
        <f t="shared" si="13" ref="G68:T68">G66+G61+G51</f>
        <v>47.620000000000005</v>
      </c>
      <c s="178">
        <f t="shared" si="13"/>
        <v>225.56</v>
      </c>
      <c s="178">
        <f t="shared" si="13"/>
        <v>1539.26</v>
      </c>
      <c s="178">
        <f t="shared" si="13"/>
        <v>0.65900000000000003</v>
      </c>
      <c s="178">
        <f t="shared" si="13"/>
        <v>0.89000000000000012</v>
      </c>
      <c s="178">
        <f t="shared" si="13"/>
        <v>46.479999999999997</v>
      </c>
      <c s="178">
        <f t="shared" si="13"/>
        <v>0.49299999999999999</v>
      </c>
      <c s="178">
        <f t="shared" si="13"/>
        <v>7.0110000000000001</v>
      </c>
      <c s="178">
        <f t="shared" si="13"/>
        <v>606.50999999999999</v>
      </c>
      <c s="178">
        <f t="shared" si="13"/>
        <v>717.00999999999999</v>
      </c>
      <c s="178">
        <f t="shared" si="13"/>
        <v>6.0739999999999998</v>
      </c>
      <c s="178">
        <f t="shared" si="13"/>
        <v>0.032920000000000005</v>
      </c>
      <c s="178">
        <f t="shared" si="13"/>
        <v>196.30000000000001</v>
      </c>
      <c s="178">
        <f t="shared" si="13"/>
        <v>7.8599999999999994</v>
      </c>
    </row>
    <row r="69" spans="2:20" s="176" customFormat="1" ht="15">
      <c r="B69" s="343" t="s">
        <v>242</v>
      </c>
      <c s="343"/>
      <c s="343"/>
      <c s="343"/>
      <c s="177">
        <v>77</v>
      </c>
      <c s="177">
        <v>79</v>
      </c>
      <c s="177">
        <v>335</v>
      </c>
      <c s="177">
        <v>2350</v>
      </c>
      <c s="177">
        <v>1.2</v>
      </c>
      <c s="177">
        <v>1.3999999999999999</v>
      </c>
      <c s="177">
        <v>60</v>
      </c>
      <c s="177">
        <v>0.69999999999999996</v>
      </c>
      <c s="177">
        <v>10</v>
      </c>
      <c s="177">
        <v>1100</v>
      </c>
      <c s="177">
        <v>1100</v>
      </c>
      <c s="177">
        <v>10</v>
      </c>
      <c s="177">
        <v>0.10000000000000001</v>
      </c>
      <c s="177">
        <v>250</v>
      </c>
      <c s="177">
        <v>12</v>
      </c>
    </row>
    <row r="70" spans="2:20" s="176" customFormat="1" ht="15">
      <c r="B70" s="343" t="s">
        <v>226</v>
      </c>
      <c s="343"/>
      <c s="343"/>
      <c s="343"/>
      <c s="179">
        <f>F68/F69</f>
        <v>0.6732467532467532</v>
      </c>
      <c s="179">
        <f t="shared" si="14" ref="G70:T70">G68/G69</f>
        <v>0.60278481012658236</v>
      </c>
      <c s="179">
        <f t="shared" si="14"/>
        <v>0.6733134328358209</v>
      </c>
      <c s="179">
        <f t="shared" si="14"/>
        <v>0.65500425531914896</v>
      </c>
      <c s="179">
        <f t="shared" si="14"/>
        <v>0.54916666666666669</v>
      </c>
      <c s="179">
        <f t="shared" si="14"/>
        <v>0.6357142857142859</v>
      </c>
      <c s="179">
        <f t="shared" si="14"/>
        <v>0.77466666666666661</v>
      </c>
      <c s="179">
        <f t="shared" si="14"/>
        <v>0.70428571428571429</v>
      </c>
      <c s="179">
        <f t="shared" si="14"/>
        <v>0.70110000000000006</v>
      </c>
      <c s="179">
        <f t="shared" si="14"/>
        <v>0.55137272727272724</v>
      </c>
      <c s="179">
        <f t="shared" si="14"/>
        <v>0.6518272727272727</v>
      </c>
      <c s="179">
        <f t="shared" si="14"/>
        <v>0.60739999999999994</v>
      </c>
      <c s="179">
        <f t="shared" si="14"/>
        <v>0.32920000000000005</v>
      </c>
      <c s="179">
        <f t="shared" si="14"/>
        <v>0.78520000000000001</v>
      </c>
      <c s="179">
        <f t="shared" si="14"/>
        <v>0.65499999999999992</v>
      </c>
    </row>
    <row r="71" spans="2:20" s="176" customFormat="1" ht="26.25" customHeight="1">
      <c r="B71" s="366" t="s">
        <v>259</v>
      </c>
      <c s="366"/>
      <c s="366"/>
      <c s="366"/>
      <c s="366"/>
      <c s="366"/>
      <c s="366"/>
      <c s="366"/>
      <c s="177"/>
      <c s="177"/>
      <c s="177"/>
      <c s="366" t="s">
        <v>187</v>
      </c>
      <c s="366"/>
      <c s="366"/>
      <c s="366"/>
      <c s="366"/>
      <c s="366"/>
      <c s="366"/>
      <c s="366"/>
    </row>
    <row r="72" spans="2:20" s="176" customFormat="1" ht="15">
      <c r="B72" s="177"/>
      <c s="177"/>
      <c s="178"/>
      <c s="178"/>
      <c s="177"/>
      <c s="177"/>
      <c s="177"/>
      <c s="177"/>
      <c s="177"/>
      <c s="177"/>
      <c s="177"/>
      <c s="177"/>
      <c s="177"/>
      <c s="177"/>
      <c s="177"/>
      <c s="177"/>
      <c s="177"/>
      <c s="177"/>
      <c s="177"/>
    </row>
    <row r="73" spans="2:20" ht="15">
      <c r="B73" s="353" t="s">
        <v>260</v>
      </c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</row>
    <row r="74" spans="2:20" ht="15">
      <c r="B74" s="353" t="s">
        <v>261</v>
      </c>
      <c s="353"/>
      <c s="173"/>
      <c s="173"/>
      <c s="173"/>
      <c s="356" t="s">
        <v>262</v>
      </c>
      <c s="356"/>
      <c s="356"/>
      <c s="173"/>
      <c s="173"/>
      <c s="353" t="s">
        <v>191</v>
      </c>
      <c s="353"/>
      <c s="356" t="s">
        <v>192</v>
      </c>
      <c s="356"/>
      <c s="356"/>
      <c s="356"/>
      <c s="173"/>
      <c s="173"/>
      <c s="173"/>
    </row>
    <row r="75" spans="2:20" ht="15">
      <c r="B75" s="173"/>
      <c s="173"/>
      <c s="173"/>
      <c s="353" t="s">
        <v>194</v>
      </c>
      <c s="353"/>
      <c s="173">
        <v>1</v>
      </c>
      <c s="173"/>
      <c s="173"/>
      <c s="173"/>
      <c s="173"/>
      <c s="353" t="s">
        <v>195</v>
      </c>
      <c s="353"/>
      <c s="356" t="s">
        <v>196</v>
      </c>
      <c s="356"/>
      <c s="356"/>
      <c s="356"/>
      <c s="356"/>
      <c s="356"/>
      <c s="356"/>
    </row>
    <row r="76" spans="2:20" ht="15">
      <c r="B76" s="174" t="s">
        <v>0</v>
      </c>
      <c s="354" t="s">
        <v>198</v>
      </c>
      <c s="354"/>
      <c s="354" t="s">
        <v>199</v>
      </c>
      <c s="354" t="s">
        <v>200</v>
      </c>
      <c s="354"/>
      <c s="354"/>
      <c s="174" t="s">
        <v>201</v>
      </c>
      <c s="354" t="s">
        <v>202</v>
      </c>
      <c s="354"/>
      <c s="354"/>
      <c s="354"/>
      <c s="354"/>
      <c s="354" t="s">
        <v>203</v>
      </c>
      <c s="354"/>
      <c s="354"/>
      <c s="354"/>
      <c s="354"/>
      <c s="354"/>
    </row>
    <row r="77" spans="2:20" ht="51">
      <c r="B77" s="174" t="s">
        <v>245</v>
      </c>
      <c s="354"/>
      <c s="354"/>
      <c s="354"/>
      <c s="174" t="s">
        <v>204</v>
      </c>
      <c s="174" t="s">
        <v>205</v>
      </c>
      <c s="174" t="s">
        <v>206</v>
      </c>
      <c s="174" t="s">
        <v>207</v>
      </c>
      <c s="174" t="s">
        <v>208</v>
      </c>
      <c s="174" t="s">
        <v>209</v>
      </c>
      <c s="174" t="s">
        <v>210</v>
      </c>
      <c s="174" t="s">
        <v>211</v>
      </c>
      <c s="174" t="s">
        <v>212</v>
      </c>
      <c s="174" t="s">
        <v>213</v>
      </c>
      <c s="174" t="s">
        <v>214</v>
      </c>
      <c s="174" t="s">
        <v>215</v>
      </c>
      <c s="174" t="s">
        <v>216</v>
      </c>
      <c s="174" t="s">
        <v>217</v>
      </c>
      <c s="174" t="s">
        <v>218</v>
      </c>
    </row>
    <row r="78" spans="2:20" ht="15">
      <c r="B78" s="175">
        <v>1</v>
      </c>
      <c s="355">
        <v>2</v>
      </c>
      <c s="355"/>
      <c s="175">
        <v>3</v>
      </c>
      <c s="175">
        <v>4</v>
      </c>
      <c s="175">
        <v>5</v>
      </c>
      <c s="175">
        <v>6</v>
      </c>
      <c s="175">
        <v>7</v>
      </c>
      <c s="175">
        <v>8</v>
      </c>
      <c s="175">
        <v>9</v>
      </c>
      <c s="175">
        <v>10</v>
      </c>
      <c s="175">
        <v>11</v>
      </c>
      <c s="175">
        <v>12</v>
      </c>
      <c s="175">
        <v>13</v>
      </c>
      <c s="175">
        <v>14</v>
      </c>
      <c s="175">
        <v>15</v>
      </c>
      <c s="175">
        <v>16</v>
      </c>
      <c s="175">
        <v>17</v>
      </c>
      <c s="175">
        <v>18</v>
      </c>
    </row>
    <row r="79" spans="2:20" ht="15">
      <c r="B79" s="353" t="s">
        <v>219</v>
      </c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</row>
    <row r="80" spans="2:20" ht="18.75" customHeight="1">
      <c r="B80" s="173">
        <v>59</v>
      </c>
      <c s="352" t="s">
        <v>263</v>
      </c>
      <c s="352"/>
      <c s="173">
        <v>60</v>
      </c>
      <c s="173">
        <v>0.64000000000000001</v>
      </c>
      <c s="173">
        <v>0.10000000000000001</v>
      </c>
      <c s="173">
        <v>5.1100000000000003</v>
      </c>
      <c s="173">
        <v>23.899999999999999</v>
      </c>
      <c s="173">
        <v>0.029999999999999999</v>
      </c>
      <c s="173">
        <v>0.02</v>
      </c>
      <c s="173">
        <v>2.6299999999999999</v>
      </c>
      <c s="173">
        <v>0.02</v>
      </c>
      <c s="173">
        <v>1.494</v>
      </c>
      <c s="173">
        <v>14.4</v>
      </c>
      <c s="173">
        <v>20.390000000000001</v>
      </c>
      <c s="173">
        <v>0.13</v>
      </c>
      <c s="173">
        <v>0.001</v>
      </c>
      <c s="173">
        <v>6.5999999999999996</v>
      </c>
      <c s="173">
        <v>0.64000000000000001</v>
      </c>
    </row>
    <row r="81" spans="2:20" ht="18.75" customHeight="1">
      <c r="B81" s="173" t="s">
        <v>347</v>
      </c>
      <c s="352" t="s">
        <v>346</v>
      </c>
      <c s="352"/>
      <c s="173">
        <v>100</v>
      </c>
      <c s="173">
        <v>1.5</v>
      </c>
      <c s="173">
        <v>0.5</v>
      </c>
      <c s="173">
        <v>21</v>
      </c>
      <c s="173">
        <v>96</v>
      </c>
      <c s="173">
        <v>0.040000000000000001</v>
      </c>
      <c s="173"/>
      <c s="173">
        <v>10</v>
      </c>
      <c s="173"/>
      <c s="173">
        <v>0.40000000000000002</v>
      </c>
      <c s="173">
        <v>8</v>
      </c>
      <c s="173">
        <v>28</v>
      </c>
      <c s="173"/>
      <c s="173"/>
      <c s="173">
        <v>42</v>
      </c>
      <c s="173">
        <v>0.5</v>
      </c>
    </row>
    <row r="82" spans="2:20" ht="15" customHeight="1">
      <c r="B82" s="189" t="s">
        <v>264</v>
      </c>
      <c s="359" t="s">
        <v>265</v>
      </c>
      <c s="359"/>
      <c s="173">
        <v>30</v>
      </c>
      <c s="173">
        <v>0.14999999999999999</v>
      </c>
      <c s="173">
        <v>0</v>
      </c>
      <c s="173">
        <v>17.850000000000001</v>
      </c>
      <c s="173">
        <v>71.700000000000003</v>
      </c>
      <c s="173"/>
      <c s="173"/>
      <c s="173"/>
      <c s="173"/>
      <c s="173"/>
      <c s="173"/>
      <c s="173"/>
      <c s="173"/>
      <c s="173"/>
      <c s="173"/>
      <c s="173"/>
    </row>
    <row r="83" spans="2:20" ht="19.5" customHeight="1">
      <c r="B83" s="173" t="s">
        <v>266</v>
      </c>
      <c s="352" t="s">
        <v>137</v>
      </c>
      <c s="352"/>
      <c s="173">
        <v>170</v>
      </c>
      <c s="173">
        <v>29.02</v>
      </c>
      <c s="173">
        <v>18.239999999999998</v>
      </c>
      <c s="173">
        <v>28.34</v>
      </c>
      <c s="173">
        <v>394.18000000000001</v>
      </c>
      <c s="173">
        <v>0.070000000000000007</v>
      </c>
      <c s="173">
        <v>0.35999999999999999</v>
      </c>
      <c s="173">
        <v>0.32000000000000001</v>
      </c>
      <c s="173">
        <v>0.070000000000000007</v>
      </c>
      <c s="173"/>
      <c s="173">
        <v>240.25999999999999</v>
      </c>
      <c s="173">
        <v>328.66000000000003</v>
      </c>
      <c s="173"/>
      <c s="173">
        <v>0.029999999999999999</v>
      </c>
      <c s="173">
        <v>36.259999999999998</v>
      </c>
      <c s="173">
        <v>1.02</v>
      </c>
    </row>
    <row r="84" spans="2:20" ht="15">
      <c r="B84" s="173">
        <v>376</v>
      </c>
      <c s="352" t="s">
        <v>141</v>
      </c>
      <c s="352"/>
      <c s="173">
        <v>200</v>
      </c>
      <c s="173">
        <v>0.20000000000000001</v>
      </c>
      <c s="173">
        <v>0.050000000000000003</v>
      </c>
      <c s="173">
        <v>15.01</v>
      </c>
      <c s="173">
        <v>61</v>
      </c>
      <c s="173">
        <v>0</v>
      </c>
      <c s="173">
        <v>0.01</v>
      </c>
      <c s="173">
        <v>9</v>
      </c>
      <c s="173">
        <v>0.0001</v>
      </c>
      <c s="173">
        <v>0.044999999999999998</v>
      </c>
      <c s="173">
        <v>5.25</v>
      </c>
      <c s="173">
        <v>8.2400000000000002</v>
      </c>
      <c s="173">
        <v>0.0080000000000000002</v>
      </c>
      <c s="173">
        <v>0</v>
      </c>
      <c s="173">
        <v>4.4000000000000004</v>
      </c>
      <c s="173">
        <v>0.87</v>
      </c>
    </row>
    <row r="85" spans="2:20" ht="21" customHeight="1">
      <c r="B85" s="173" t="s">
        <v>224</v>
      </c>
      <c s="352" t="s">
        <v>267</v>
      </c>
      <c s="352"/>
      <c s="173">
        <v>40</v>
      </c>
      <c s="173">
        <v>2.6699999999999999</v>
      </c>
      <c s="173">
        <v>0.53000000000000003</v>
      </c>
      <c s="173">
        <v>13.73</v>
      </c>
      <c s="173">
        <v>70.400000000000006</v>
      </c>
      <c s="173">
        <v>0.13</v>
      </c>
      <c s="173">
        <v>0.012999999999999999</v>
      </c>
      <c s="173">
        <v>0.10000000000000001</v>
      </c>
      <c s="173">
        <v>0</v>
      </c>
      <c s="173">
        <v>0.93300000000000005</v>
      </c>
      <c s="173">
        <v>14</v>
      </c>
      <c s="173">
        <v>63.200000000000003</v>
      </c>
      <c s="173">
        <v>0.012999999999999999</v>
      </c>
      <c s="173">
        <v>0.0040000000000000001</v>
      </c>
      <c s="173">
        <v>18.800000000000001</v>
      </c>
      <c s="173">
        <v>1.6000000000000001</v>
      </c>
    </row>
    <row r="86" spans="2:20" ht="15">
      <c r="B86" s="353" t="s">
        <v>225</v>
      </c>
      <c s="353"/>
      <c s="353"/>
      <c s="190">
        <f>E80+E82+E83+E84+E85</f>
        <v>500</v>
      </c>
      <c s="190">
        <f>F80+F82+F83+F84+F85</f>
        <v>32.68</v>
      </c>
      <c s="190">
        <f t="shared" si="15" ref="G86:T86">G80+G82+G83+G84+G85</f>
        <v>18.920000000000002</v>
      </c>
      <c s="190">
        <f t="shared" si="15"/>
        <v>80.040000000000006</v>
      </c>
      <c s="190">
        <f t="shared" si="15"/>
        <v>621.17999999999995</v>
      </c>
      <c s="190">
        <f t="shared" si="15"/>
        <v>0.23000000000000001</v>
      </c>
      <c s="190">
        <f t="shared" si="15"/>
        <v>0.40300000000000002</v>
      </c>
      <c s="190">
        <f t="shared" si="15"/>
        <v>12.049999999999999</v>
      </c>
      <c s="190">
        <f t="shared" si="15"/>
        <v>0.090100000000000013</v>
      </c>
      <c s="190">
        <f t="shared" si="15"/>
        <v>2.472</v>
      </c>
      <c s="190">
        <f t="shared" si="15"/>
        <v>273.90999999999997</v>
      </c>
      <c s="190">
        <f t="shared" si="15"/>
        <v>420.49000000000001</v>
      </c>
      <c s="190">
        <f t="shared" si="15"/>
        <v>0.15100000000000002</v>
      </c>
      <c s="190">
        <f t="shared" si="15"/>
        <v>0.035000000000000003</v>
      </c>
      <c s="190">
        <f t="shared" si="15"/>
        <v>66.060000000000002</v>
      </c>
      <c s="190">
        <f t="shared" si="15"/>
        <v>4.1300000000000008</v>
      </c>
    </row>
    <row r="87" spans="2:20" ht="15">
      <c r="B87" s="353" t="s">
        <v>226</v>
      </c>
      <c s="353"/>
      <c s="353"/>
      <c s="353"/>
      <c s="191">
        <f t="shared" si="16" ref="F87:T87">F86/F104</f>
        <v>0.42441558441558441</v>
      </c>
      <c s="191">
        <f t="shared" si="16"/>
        <v>0.23949367088607598</v>
      </c>
      <c s="191">
        <f t="shared" si="16"/>
        <v>0.23892537313432838</v>
      </c>
      <c s="191">
        <f t="shared" si="16"/>
        <v>0.26433191489361701</v>
      </c>
      <c s="191">
        <f t="shared" si="16"/>
        <v>0.19166666666666668</v>
      </c>
      <c s="191">
        <f t="shared" si="16"/>
        <v>0.28785714285714287</v>
      </c>
      <c s="191">
        <f t="shared" si="16"/>
        <v>0.20083333333333331</v>
      </c>
      <c s="191">
        <f t="shared" si="16"/>
        <v>0.12871428571428575</v>
      </c>
      <c s="191">
        <f t="shared" si="16"/>
        <v>0.2472</v>
      </c>
      <c s="191">
        <f t="shared" si="16"/>
        <v>0.24900909090909087</v>
      </c>
      <c s="191">
        <f t="shared" si="16"/>
        <v>0.38226363636363636</v>
      </c>
      <c s="191">
        <f t="shared" si="16"/>
        <v>0.015100000000000002</v>
      </c>
      <c s="191">
        <f t="shared" si="16"/>
        <v>0.35000000000000003</v>
      </c>
      <c s="191">
        <f t="shared" si="16"/>
        <v>0.26424000000000003</v>
      </c>
      <c s="191">
        <f t="shared" si="16"/>
        <v>0.34416666666666673</v>
      </c>
    </row>
    <row r="88" spans="2:20" ht="15">
      <c r="B88" s="353" t="s">
        <v>227</v>
      </c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</row>
    <row r="89" spans="2:20" ht="17.25" customHeight="1">
      <c r="B89" s="173" t="s">
        <v>268</v>
      </c>
      <c s="352" t="s">
        <v>269</v>
      </c>
      <c s="352"/>
      <c s="173">
        <v>60</v>
      </c>
      <c s="173">
        <v>0.5</v>
      </c>
      <c s="173">
        <v>3.02</v>
      </c>
      <c s="173">
        <v>1.1000000000000001</v>
      </c>
      <c s="173">
        <v>33.600000000000001</v>
      </c>
      <c s="173">
        <v>0.089999999999999997</v>
      </c>
      <c s="173">
        <v>0.02</v>
      </c>
      <c s="173">
        <v>4.25</v>
      </c>
      <c s="173">
        <v>0.089999999999999997</v>
      </c>
      <c s="173"/>
      <c s="173">
        <v>20.379999999999999</v>
      </c>
      <c s="173">
        <v>13.93</v>
      </c>
      <c s="173"/>
      <c s="173">
        <v>0</v>
      </c>
      <c s="173">
        <v>8.3499999999999996</v>
      </c>
      <c s="173">
        <v>0.38</v>
      </c>
    </row>
    <row r="90" spans="2:20" ht="27" customHeight="1">
      <c r="B90" s="173">
        <v>24</v>
      </c>
      <c s="352" t="s">
        <v>270</v>
      </c>
      <c s="352"/>
      <c s="173">
        <v>60</v>
      </c>
      <c s="173">
        <v>0.29999999999999999</v>
      </c>
      <c s="173">
        <v>2</v>
      </c>
      <c s="173">
        <v>1.6000000000000001</v>
      </c>
      <c s="173">
        <v>25.600000000000001</v>
      </c>
      <c s="173">
        <v>0.059999999999999998</v>
      </c>
      <c s="173">
        <v>0.040000000000000001</v>
      </c>
      <c s="173">
        <v>12.4</v>
      </c>
      <c s="173">
        <v>0</v>
      </c>
      <c s="173">
        <v>1.5</v>
      </c>
      <c s="173">
        <v>28.199999999999999</v>
      </c>
      <c s="173">
        <v>32.299999999999997</v>
      </c>
      <c s="173">
        <v>0.29999999999999999</v>
      </c>
      <c s="173">
        <v>0</v>
      </c>
      <c s="173">
        <v>18.600000000000001</v>
      </c>
      <c s="173">
        <v>0.5</v>
      </c>
    </row>
    <row r="91" spans="2:20" ht="16.5" customHeight="1">
      <c r="B91" s="173">
        <v>110</v>
      </c>
      <c s="352" t="s">
        <v>271</v>
      </c>
      <c s="352"/>
      <c s="173">
        <v>200</v>
      </c>
      <c s="173">
        <v>1.28</v>
      </c>
      <c s="173">
        <v>3.8399999999999999</v>
      </c>
      <c s="173">
        <v>8.9800000000000004</v>
      </c>
      <c s="173">
        <v>75</v>
      </c>
      <c s="173">
        <v>0.040000000000000001</v>
      </c>
      <c s="173">
        <v>0.040000000000000001</v>
      </c>
      <c s="173">
        <v>6.0999999999999996</v>
      </c>
      <c s="173">
        <v>0.040000000000000001</v>
      </c>
      <c s="173"/>
      <c s="173">
        <v>22.260000000000002</v>
      </c>
      <c s="173">
        <v>0</v>
      </c>
      <c s="173"/>
      <c s="173">
        <v>0</v>
      </c>
      <c s="173">
        <v>15.58</v>
      </c>
      <c s="173">
        <v>0.71999999999999997</v>
      </c>
    </row>
    <row r="92" spans="2:20" ht="18" customHeight="1">
      <c r="B92" s="173">
        <v>291</v>
      </c>
      <c s="352" t="s">
        <v>272</v>
      </c>
      <c s="352"/>
      <c s="173">
        <v>240</v>
      </c>
      <c s="173">
        <v>22.359999999999999</v>
      </c>
      <c s="173">
        <v>26.140000000000001</v>
      </c>
      <c s="173">
        <v>47.229999999999997</v>
      </c>
      <c s="173">
        <v>513.60000000000002</v>
      </c>
      <c s="173">
        <v>0.81999999999999995</v>
      </c>
      <c s="173">
        <v>0.79000000000000004</v>
      </c>
      <c s="173">
        <v>4.2999999999999998</v>
      </c>
      <c s="173">
        <v>0.46000000000000002</v>
      </c>
      <c s="173">
        <v>0</v>
      </c>
      <c s="173">
        <v>44.289999999999999</v>
      </c>
      <c s="173">
        <v>301.66000000000003</v>
      </c>
      <c s="173">
        <v>0</v>
      </c>
      <c s="173">
        <v>0</v>
      </c>
      <c s="173">
        <v>64.390000000000001</v>
      </c>
      <c s="173">
        <v>2.77</v>
      </c>
    </row>
    <row r="93" spans="2:20" ht="18.75" customHeight="1">
      <c r="B93" s="173">
        <v>342</v>
      </c>
      <c s="352" t="s">
        <v>273</v>
      </c>
      <c s="352"/>
      <c s="173">
        <v>200</v>
      </c>
      <c s="173">
        <v>0.16</v>
      </c>
      <c s="173">
        <v>0.16</v>
      </c>
      <c s="173">
        <v>27.899999999999999</v>
      </c>
      <c s="173">
        <v>113.59999999999999</v>
      </c>
      <c s="173">
        <v>0.01</v>
      </c>
      <c s="173">
        <v>0.01</v>
      </c>
      <c s="173">
        <v>6.5999999999999996</v>
      </c>
      <c s="173">
        <v>0.01</v>
      </c>
      <c s="173">
        <v>0.40000000000000002</v>
      </c>
      <c s="173">
        <v>6.8799999999999999</v>
      </c>
      <c s="173">
        <v>4.4000000000000004</v>
      </c>
      <c s="173">
        <v>0.080000000000000002</v>
      </c>
      <c s="173">
        <v>0.01</v>
      </c>
      <c s="173">
        <v>3.6000000000000001</v>
      </c>
      <c s="173">
        <v>0.94999999999999996</v>
      </c>
    </row>
    <row r="94" spans="2:20" ht="18" customHeight="1">
      <c r="B94" s="173" t="s">
        <v>224</v>
      </c>
      <c s="352" t="s">
        <v>235</v>
      </c>
      <c s="352"/>
      <c s="173">
        <v>40</v>
      </c>
      <c s="173">
        <v>2.6400000000000001</v>
      </c>
      <c s="173">
        <v>0.47999999999999998</v>
      </c>
      <c s="173">
        <v>13.68</v>
      </c>
      <c s="173">
        <v>69.599999999999994</v>
      </c>
      <c s="173">
        <v>0.080000000000000002</v>
      </c>
      <c s="173">
        <v>0.040000000000000001</v>
      </c>
      <c s="173">
        <v>0</v>
      </c>
      <c s="173">
        <v>0</v>
      </c>
      <c s="173">
        <v>2.3999999999999999</v>
      </c>
      <c s="173">
        <v>14</v>
      </c>
      <c s="173">
        <v>63.200000000000003</v>
      </c>
      <c s="173">
        <v>1.2</v>
      </c>
      <c s="173">
        <v>0.001</v>
      </c>
      <c s="173">
        <v>9.4000000000000004</v>
      </c>
      <c s="173">
        <v>0.78000000000000003</v>
      </c>
    </row>
    <row r="95" spans="2:20" ht="18" customHeight="1">
      <c r="B95" s="173" t="s">
        <v>224</v>
      </c>
      <c s="352" t="s">
        <v>117</v>
      </c>
      <c s="352"/>
      <c s="173">
        <v>30</v>
      </c>
      <c s="173">
        <v>1.52</v>
      </c>
      <c s="173">
        <v>0.16</v>
      </c>
      <c s="173">
        <v>9.8399999999999999</v>
      </c>
      <c s="173">
        <v>46.899999999999999</v>
      </c>
      <c s="173">
        <v>0.02</v>
      </c>
      <c s="173">
        <v>0.01</v>
      </c>
      <c s="173">
        <v>0.44</v>
      </c>
      <c s="173">
        <v>0</v>
      </c>
      <c s="173">
        <v>0.69999999999999996</v>
      </c>
      <c s="173">
        <v>4</v>
      </c>
      <c s="173">
        <v>13</v>
      </c>
      <c s="173">
        <v>0.0080000000000000002</v>
      </c>
      <c s="173">
        <v>0.001</v>
      </c>
      <c s="173">
        <v>0</v>
      </c>
      <c s="173">
        <v>0.22</v>
      </c>
    </row>
    <row r="96" spans="2:20" ht="25.5" customHeight="1">
      <c r="B96" s="353" t="s">
        <v>236</v>
      </c>
      <c s="353"/>
      <c s="353"/>
      <c s="190">
        <f>SUM(E90:E95)</f>
        <v>770</v>
      </c>
      <c s="190">
        <f t="shared" si="17" ref="F96:T96">SUM(F90:F95)</f>
        <v>28.259999999999998</v>
      </c>
      <c s="190">
        <f t="shared" si="17"/>
        <v>32.779999999999994</v>
      </c>
      <c s="190">
        <f t="shared" si="17"/>
        <v>109.22999999999999</v>
      </c>
      <c s="190">
        <f t="shared" si="17"/>
        <v>844.30000000000007</v>
      </c>
      <c s="190">
        <f t="shared" si="17"/>
        <v>1.03</v>
      </c>
      <c s="190">
        <f t="shared" si="17"/>
        <v>0.93000000000000005</v>
      </c>
      <c s="190">
        <f t="shared" si="17"/>
        <v>29.84</v>
      </c>
      <c s="190">
        <f t="shared" si="17"/>
        <v>0.51000000000000001</v>
      </c>
      <c s="190">
        <f t="shared" si="17"/>
        <v>5</v>
      </c>
      <c s="190">
        <f t="shared" si="17"/>
        <v>119.63</v>
      </c>
      <c s="190">
        <f t="shared" si="17"/>
        <v>414.56</v>
      </c>
      <c s="190">
        <f t="shared" si="17"/>
        <v>1.5880000000000001</v>
      </c>
      <c s="190">
        <f t="shared" si="17"/>
        <v>0.012</v>
      </c>
      <c s="190">
        <f t="shared" si="17"/>
        <v>111.56999999999999</v>
      </c>
      <c s="190">
        <f t="shared" si="17"/>
        <v>5.9400000000000004</v>
      </c>
    </row>
    <row r="97" spans="2:20" ht="15">
      <c r="B97" s="353" t="s">
        <v>226</v>
      </c>
      <c s="353"/>
      <c s="353"/>
      <c s="353"/>
      <c s="191">
        <f t="shared" si="18" ref="F97:T97">F96/F104</f>
        <v>0.36701298701298701</v>
      </c>
      <c s="191">
        <f t="shared" si="18"/>
        <v>0.4149367088607594</v>
      </c>
      <c s="191">
        <f t="shared" si="18"/>
        <v>0.32605970149253727</v>
      </c>
      <c s="191">
        <f t="shared" si="18"/>
        <v>0.3592765957446809</v>
      </c>
      <c s="191">
        <f t="shared" si="18"/>
        <v>0.85833333333333339</v>
      </c>
      <c s="191">
        <f t="shared" si="18"/>
        <v>0.66428571428571437</v>
      </c>
      <c s="191">
        <f t="shared" si="18"/>
        <v>0.49733333333333335</v>
      </c>
      <c s="192">
        <f t="shared" si="18"/>
        <v>0.72857142857142865</v>
      </c>
      <c s="191">
        <f t="shared" si="18"/>
        <v>0.5</v>
      </c>
      <c s="191">
        <f t="shared" si="18"/>
        <v>0.10875454545454545</v>
      </c>
      <c s="191">
        <f t="shared" si="18"/>
        <v>0.37687272727272725</v>
      </c>
      <c s="191">
        <f t="shared" si="18"/>
        <v>0.1588</v>
      </c>
      <c s="191">
        <f t="shared" si="18"/>
        <v>0.12</v>
      </c>
      <c s="191">
        <f t="shared" si="18"/>
        <v>0.44627999999999995</v>
      </c>
      <c s="191">
        <f t="shared" si="18"/>
        <v>0.49500000000000005</v>
      </c>
    </row>
    <row r="98" spans="2:20" ht="15">
      <c r="B98" s="348" t="s">
        <v>237</v>
      </c>
      <c s="348"/>
      <c s="348"/>
      <c s="348"/>
      <c s="348"/>
      <c s="348"/>
      <c s="348"/>
      <c s="348"/>
      <c s="348"/>
      <c s="348"/>
      <c s="348"/>
      <c s="348"/>
      <c s="348"/>
      <c s="348"/>
      <c s="348"/>
      <c s="348"/>
      <c s="348"/>
      <c s="348"/>
      <c s="348"/>
    </row>
    <row r="99" spans="2:20" ht="16.5" customHeight="1">
      <c r="B99" s="177" t="s">
        <v>224</v>
      </c>
      <c s="345" t="s">
        <v>274</v>
      </c>
      <c s="345"/>
      <c s="177">
        <v>100</v>
      </c>
      <c s="177">
        <v>13.08</v>
      </c>
      <c s="177">
        <v>6.0599999999999996</v>
      </c>
      <c s="177">
        <v>49.579999999999998</v>
      </c>
      <c s="177">
        <v>306</v>
      </c>
      <c s="177">
        <v>0.14000000000000001</v>
      </c>
      <c s="177">
        <v>0.17999999999999999</v>
      </c>
      <c s="177">
        <v>0.17999999999999999</v>
      </c>
      <c s="177">
        <v>0.14000000000000001</v>
      </c>
      <c s="177"/>
      <c s="177">
        <v>75.799999999999997</v>
      </c>
      <c s="177">
        <v>140</v>
      </c>
      <c s="177"/>
      <c s="177">
        <v>0</v>
      </c>
      <c s="177">
        <v>34.600000000000001</v>
      </c>
      <c s="177">
        <v>1.52</v>
      </c>
    </row>
    <row r="100" spans="2:20" ht="17.25" customHeight="1">
      <c r="B100" s="173">
        <v>377</v>
      </c>
      <c s="352" t="s">
        <v>149</v>
      </c>
      <c s="352"/>
      <c s="173" t="s">
        <v>234</v>
      </c>
      <c s="173">
        <v>0.26000000000000001</v>
      </c>
      <c s="173">
        <v>0.059999999999999998</v>
      </c>
      <c s="173">
        <v>15.220000000000001</v>
      </c>
      <c s="173">
        <v>62.5</v>
      </c>
      <c s="173"/>
      <c s="173">
        <v>0.01</v>
      </c>
      <c s="173">
        <v>2.8999999999999999</v>
      </c>
      <c s="173">
        <v>0</v>
      </c>
      <c s="173">
        <v>0.059999999999999998</v>
      </c>
      <c s="173">
        <v>8.0500000000000007</v>
      </c>
      <c s="173">
        <v>9.7799999999999994</v>
      </c>
      <c s="173">
        <v>0.02</v>
      </c>
      <c s="173">
        <v>0</v>
      </c>
      <c s="173">
        <v>5.2400000000000002</v>
      </c>
      <c s="173">
        <v>0.87</v>
      </c>
    </row>
    <row r="101" spans="2:20" ht="15" customHeight="1">
      <c r="B101" s="186" t="s">
        <v>240</v>
      </c>
      <c s="193"/>
      <c s="187"/>
      <c s="178">
        <f>E99+204</f>
        <v>304</v>
      </c>
      <c s="178">
        <f>F99+F100</f>
        <v>13.34</v>
      </c>
      <c s="178">
        <f t="shared" si="19" ref="G101:T101">G99+G100</f>
        <v>6.1199999999999992</v>
      </c>
      <c s="178">
        <f t="shared" si="19"/>
        <v>64.799999999999997</v>
      </c>
      <c s="178">
        <f t="shared" si="19"/>
        <v>368.5</v>
      </c>
      <c s="178">
        <f t="shared" si="19"/>
        <v>0.14000000000000001</v>
      </c>
      <c s="178">
        <f t="shared" si="19"/>
        <v>0.19</v>
      </c>
      <c s="178">
        <f t="shared" si="19"/>
        <v>3.0800000000000001</v>
      </c>
      <c s="178">
        <f t="shared" si="19"/>
        <v>0.14000000000000001</v>
      </c>
      <c s="178">
        <f t="shared" si="19"/>
        <v>0.059999999999999998</v>
      </c>
      <c s="178">
        <f t="shared" si="19"/>
        <v>83.849999999999994</v>
      </c>
      <c s="178">
        <f t="shared" si="19"/>
        <v>149.78</v>
      </c>
      <c s="178">
        <f t="shared" si="19"/>
        <v>0.02</v>
      </c>
      <c s="178">
        <f t="shared" si="19"/>
        <v>0</v>
      </c>
      <c s="178">
        <f t="shared" si="19"/>
        <v>39.840000000000003</v>
      </c>
      <c s="178">
        <f t="shared" si="19"/>
        <v>2.3900000000000001</v>
      </c>
    </row>
    <row r="102" spans="2:20" ht="15" customHeight="1">
      <c r="B102" s="343" t="s">
        <v>226</v>
      </c>
      <c s="343"/>
      <c s="343"/>
      <c s="343"/>
      <c s="179">
        <f>F101/F104</f>
        <v>0.17324675324675323</v>
      </c>
      <c s="179">
        <f t="shared" si="20" ref="G102:T102">G101/G104</f>
        <v>0.077468354430379735</v>
      </c>
      <c s="179">
        <f t="shared" si="20"/>
        <v>0.19343283582089552</v>
      </c>
      <c s="179">
        <f t="shared" si="20"/>
        <v>0.15680851063829787</v>
      </c>
      <c s="179">
        <f t="shared" si="20"/>
        <v>0.11666666666666668</v>
      </c>
      <c s="179">
        <f t="shared" si="20"/>
        <v>0.13571428571428573</v>
      </c>
      <c s="179">
        <f t="shared" si="20"/>
        <v>0.051333333333333335</v>
      </c>
      <c s="179">
        <f t="shared" si="20"/>
        <v>0.20000000000000004</v>
      </c>
      <c s="179">
        <f t="shared" si="20"/>
        <v>0.0060000000000000001</v>
      </c>
      <c s="179">
        <f t="shared" si="20"/>
        <v>0.076227272727272727</v>
      </c>
      <c s="179">
        <f t="shared" si="20"/>
        <v>0.13616363636363638</v>
      </c>
      <c s="179">
        <f t="shared" si="20"/>
        <v>0.002</v>
      </c>
      <c s="179">
        <f t="shared" si="20"/>
        <v>0</v>
      </c>
      <c s="179">
        <f t="shared" si="20"/>
        <v>0.15936</v>
      </c>
      <c s="179">
        <f t="shared" si="20"/>
        <v>0.19916666666666669</v>
      </c>
    </row>
    <row r="103" spans="2:20" ht="15">
      <c r="B103" s="353" t="s">
        <v>241</v>
      </c>
      <c s="353"/>
      <c s="353"/>
      <c s="353"/>
      <c s="190">
        <f>F101+F96+F86</f>
        <v>74.280000000000001</v>
      </c>
      <c s="190">
        <f t="shared" si="21" ref="G103:T103">G101+G96+G86</f>
        <v>57.819999999999993</v>
      </c>
      <c s="190">
        <f t="shared" si="21"/>
        <v>254.06999999999999</v>
      </c>
      <c s="190">
        <f t="shared" si="21"/>
        <v>1833.98</v>
      </c>
      <c s="190">
        <f t="shared" si="21"/>
        <v>1.3999999999999999</v>
      </c>
      <c s="190">
        <f t="shared" si="21"/>
        <v>1.5230000000000001</v>
      </c>
      <c s="190">
        <f t="shared" si="21"/>
        <v>44.969999999999999</v>
      </c>
      <c s="190">
        <f t="shared" si="21"/>
        <v>0.74009999999999998</v>
      </c>
      <c s="190">
        <f t="shared" si="21"/>
        <v>7.532</v>
      </c>
      <c s="190">
        <f t="shared" si="21"/>
        <v>477.38999999999999</v>
      </c>
      <c s="190">
        <f t="shared" si="21"/>
        <v>984.83000000000004</v>
      </c>
      <c s="190">
        <f t="shared" si="21"/>
        <v>1.7590000000000001</v>
      </c>
      <c s="190">
        <f t="shared" si="21"/>
        <v>0.047</v>
      </c>
      <c s="190">
        <f t="shared" si="21"/>
        <v>217.47</v>
      </c>
      <c s="190">
        <f t="shared" si="21"/>
        <v>12.460000000000001</v>
      </c>
    </row>
    <row r="104" spans="2:20" ht="15">
      <c r="B104" s="353" t="s">
        <v>242</v>
      </c>
      <c s="353"/>
      <c s="353"/>
      <c s="353"/>
      <c s="173">
        <v>77</v>
      </c>
      <c s="173">
        <v>79</v>
      </c>
      <c s="173">
        <v>335</v>
      </c>
      <c s="173">
        <v>2350</v>
      </c>
      <c s="173">
        <v>1.2</v>
      </c>
      <c s="173">
        <v>1.3999999999999999</v>
      </c>
      <c s="173">
        <v>60</v>
      </c>
      <c s="173">
        <v>0.69999999999999996</v>
      </c>
      <c s="173">
        <v>10</v>
      </c>
      <c s="173">
        <v>1100</v>
      </c>
      <c s="173">
        <v>1100</v>
      </c>
      <c s="173">
        <v>10</v>
      </c>
      <c s="173">
        <v>0.10000000000000001</v>
      </c>
      <c s="173">
        <v>250</v>
      </c>
      <c s="173">
        <v>12</v>
      </c>
    </row>
    <row r="105" spans="2:20" ht="15">
      <c r="B105" s="353" t="s">
        <v>226</v>
      </c>
      <c s="353"/>
      <c s="353"/>
      <c s="353"/>
      <c s="191">
        <f>F103/F104</f>
        <v>0.96467532467532469</v>
      </c>
      <c s="191">
        <f t="shared" si="22" ref="G105:T105">G103/G104</f>
        <v>0.73189873417721507</v>
      </c>
      <c s="191">
        <f t="shared" si="22"/>
        <v>0.75841791044776119</v>
      </c>
      <c s="191">
        <f t="shared" si="22"/>
        <v>0.78041702127659573</v>
      </c>
      <c s="191">
        <f t="shared" si="22"/>
        <v>1.1666666666666667</v>
      </c>
      <c s="191">
        <f t="shared" si="22"/>
        <v>1.0878571428571431</v>
      </c>
      <c s="191">
        <f t="shared" si="22"/>
        <v>0.74949999999999994</v>
      </c>
      <c s="191">
        <f t="shared" si="22"/>
        <v>1.0572857142857144</v>
      </c>
      <c s="191">
        <f t="shared" si="22"/>
        <v>0.75319999999999998</v>
      </c>
      <c s="191">
        <f t="shared" si="22"/>
        <v>0.43399090909090909</v>
      </c>
      <c s="191">
        <f t="shared" si="22"/>
        <v>0.89529999999999998</v>
      </c>
      <c s="191">
        <f t="shared" si="22"/>
        <v>0.1759</v>
      </c>
      <c s="191">
        <f t="shared" si="22"/>
        <v>0.46999999999999997</v>
      </c>
      <c s="191">
        <f t="shared" si="22"/>
        <v>0.86987999999999999</v>
      </c>
      <c s="191">
        <f t="shared" si="22"/>
        <v>1.0383333333333333</v>
      </c>
    </row>
    <row r="106" spans="2:20" ht="15">
      <c r="B106" s="172"/>
      <c s="173"/>
      <c s="173"/>
      <c s="173"/>
      <c s="173"/>
      <c s="173"/>
      <c s="173"/>
      <c s="173"/>
      <c s="173"/>
      <c s="173"/>
      <c s="173"/>
      <c s="356" t="s">
        <v>187</v>
      </c>
      <c s="356"/>
      <c s="356"/>
      <c s="356"/>
      <c s="356"/>
      <c s="356"/>
      <c s="356"/>
      <c s="356"/>
    </row>
    <row r="107" spans="2:20" ht="15">
      <c r="B107" s="353" t="s">
        <v>275</v>
      </c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</row>
    <row r="108" spans="2:20" ht="15">
      <c r="B108" s="353" t="s">
        <v>189</v>
      </c>
      <c s="353"/>
      <c s="173"/>
      <c s="173"/>
      <c s="173"/>
      <c s="356" t="s">
        <v>276</v>
      </c>
      <c s="356"/>
      <c s="356"/>
      <c s="173"/>
      <c s="173"/>
      <c s="353" t="s">
        <v>191</v>
      </c>
      <c s="353"/>
      <c s="356" t="s">
        <v>192</v>
      </c>
      <c s="356"/>
      <c s="356"/>
      <c s="356"/>
      <c s="173"/>
      <c s="173"/>
      <c s="173"/>
    </row>
    <row r="109" spans="2:20" ht="15">
      <c r="B109" s="173"/>
      <c s="173"/>
      <c s="173"/>
      <c s="353" t="s">
        <v>194</v>
      </c>
      <c s="353"/>
      <c s="173">
        <v>1</v>
      </c>
      <c s="173"/>
      <c s="173"/>
      <c s="173"/>
      <c s="173"/>
      <c s="353" t="s">
        <v>195</v>
      </c>
      <c s="353"/>
      <c s="356" t="s">
        <v>196</v>
      </c>
      <c s="356"/>
      <c s="356"/>
      <c s="356"/>
      <c s="356"/>
      <c s="356"/>
      <c s="356"/>
    </row>
    <row r="110" spans="2:20" ht="15">
      <c r="B110" s="174" t="s">
        <v>0</v>
      </c>
      <c s="354" t="s">
        <v>198</v>
      </c>
      <c s="354"/>
      <c s="354" t="s">
        <v>199</v>
      </c>
      <c s="354" t="s">
        <v>200</v>
      </c>
      <c s="354"/>
      <c s="354"/>
      <c s="174" t="s">
        <v>201</v>
      </c>
      <c s="354" t="s">
        <v>202</v>
      </c>
      <c s="354"/>
      <c s="354"/>
      <c s="354"/>
      <c s="354"/>
      <c s="354" t="s">
        <v>203</v>
      </c>
      <c s="354"/>
      <c s="354"/>
      <c s="354"/>
      <c s="354"/>
      <c s="354"/>
    </row>
    <row r="111" spans="2:20" ht="51">
      <c r="B111" s="174" t="s">
        <v>245</v>
      </c>
      <c s="354"/>
      <c s="354"/>
      <c s="354"/>
      <c s="174" t="s">
        <v>204</v>
      </c>
      <c s="174" t="s">
        <v>205</v>
      </c>
      <c s="174" t="s">
        <v>206</v>
      </c>
      <c s="174" t="s">
        <v>207</v>
      </c>
      <c s="174" t="s">
        <v>208</v>
      </c>
      <c s="174" t="s">
        <v>209</v>
      </c>
      <c s="174" t="s">
        <v>210</v>
      </c>
      <c s="174" t="s">
        <v>211</v>
      </c>
      <c s="174" t="s">
        <v>212</v>
      </c>
      <c s="174" t="s">
        <v>213</v>
      </c>
      <c s="174" t="s">
        <v>214</v>
      </c>
      <c s="174" t="s">
        <v>215</v>
      </c>
      <c s="174" t="s">
        <v>216</v>
      </c>
      <c s="174" t="s">
        <v>217</v>
      </c>
      <c s="174" t="s">
        <v>218</v>
      </c>
    </row>
    <row r="112" spans="2:20" ht="15">
      <c r="B112" s="175">
        <v>1</v>
      </c>
      <c s="355">
        <v>2</v>
      </c>
      <c s="355"/>
      <c s="175">
        <v>3</v>
      </c>
      <c s="175">
        <v>4</v>
      </c>
      <c s="175">
        <v>5</v>
      </c>
      <c s="175">
        <v>6</v>
      </c>
      <c s="175">
        <v>7</v>
      </c>
      <c s="175">
        <v>8</v>
      </c>
      <c s="175">
        <v>9</v>
      </c>
      <c s="175">
        <v>10</v>
      </c>
      <c s="175">
        <v>11</v>
      </c>
      <c s="175">
        <v>12</v>
      </c>
      <c s="175">
        <v>13</v>
      </c>
      <c s="175">
        <v>14</v>
      </c>
      <c s="175">
        <v>15</v>
      </c>
      <c s="175">
        <v>16</v>
      </c>
      <c s="175">
        <v>17</v>
      </c>
      <c s="175">
        <v>18</v>
      </c>
    </row>
    <row r="113" spans="2:20" ht="15">
      <c r="B113" s="353" t="s">
        <v>246</v>
      </c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</row>
    <row r="114" spans="2:20" ht="18" customHeight="1">
      <c r="B114" s="173">
        <v>338</v>
      </c>
      <c s="352" t="s">
        <v>277</v>
      </c>
      <c s="352"/>
      <c s="173">
        <v>100</v>
      </c>
      <c s="173">
        <v>0.40000000000000002</v>
      </c>
      <c s="173">
        <v>0.29999999999999999</v>
      </c>
      <c s="173">
        <v>10.300000000000001</v>
      </c>
      <c s="173">
        <v>45.5</v>
      </c>
      <c s="173">
        <v>0.040000000000000001</v>
      </c>
      <c s="173">
        <v>0.02</v>
      </c>
      <c s="173">
        <v>5</v>
      </c>
      <c s="173">
        <v>0.01</v>
      </c>
      <c s="173">
        <v>0.20000000000000001</v>
      </c>
      <c s="173">
        <v>19</v>
      </c>
      <c s="173">
        <v>11</v>
      </c>
      <c s="173">
        <v>0.029999999999999999</v>
      </c>
      <c s="173">
        <v>0</v>
      </c>
      <c s="173">
        <v>12</v>
      </c>
      <c s="173">
        <v>2.2999999999999998</v>
      </c>
    </row>
    <row r="115" spans="2:20" ht="18.75" customHeight="1">
      <c r="B115" s="214">
        <v>260</v>
      </c>
      <c s="365" t="s">
        <v>232</v>
      </c>
      <c s="365"/>
      <c s="214">
        <v>90</v>
      </c>
      <c s="214">
        <v>11.295</v>
      </c>
      <c s="214">
        <v>11.691000000000001</v>
      </c>
      <c s="214">
        <v>3.609</v>
      </c>
      <c s="214">
        <v>164.25</v>
      </c>
      <c s="214">
        <v>0.063</v>
      </c>
      <c s="214">
        <v>0.099000000000000005</v>
      </c>
      <c s="214">
        <v>4.5629999999999997</v>
      </c>
      <c s="214">
        <v>1.341</v>
      </c>
      <c s="214">
        <v>2.0249999999999999</v>
      </c>
      <c s="214">
        <v>27.468</v>
      </c>
      <c s="214">
        <v>107.271</v>
      </c>
      <c s="214"/>
      <c s="214"/>
      <c s="214">
        <v>21.626999999999999</v>
      </c>
      <c s="214">
        <v>1.8899999999999999</v>
      </c>
    </row>
    <row r="116" spans="2:20" ht="25.5" customHeight="1">
      <c r="B116" s="173">
        <v>203</v>
      </c>
      <c s="352" t="s">
        <v>278</v>
      </c>
      <c s="352"/>
      <c s="173">
        <v>150</v>
      </c>
      <c s="173">
        <v>5.5199999999999996</v>
      </c>
      <c s="173">
        <v>4.5199999999999996</v>
      </c>
      <c s="173">
        <v>26.449999999999999</v>
      </c>
      <c s="173">
        <v>168.59999999999999</v>
      </c>
      <c s="173">
        <v>0.089999999999999997</v>
      </c>
      <c s="173">
        <v>0.029999999999999999</v>
      </c>
      <c s="173">
        <v>0</v>
      </c>
      <c s="173">
        <v>0.029999999999999999</v>
      </c>
      <c s="173">
        <v>1.25</v>
      </c>
      <c s="173">
        <v>13.279999999999999</v>
      </c>
      <c s="173">
        <v>46.210000000000001</v>
      </c>
      <c s="173">
        <v>0.78000000000000003</v>
      </c>
      <c s="173">
        <v>0.002</v>
      </c>
      <c s="173">
        <v>8.4700000000000006</v>
      </c>
      <c s="173">
        <v>0.85999999999999999</v>
      </c>
    </row>
    <row r="117" spans="2:20" ht="15">
      <c r="B117" s="173">
        <v>377</v>
      </c>
      <c s="352" t="s">
        <v>149</v>
      </c>
      <c s="352"/>
      <c s="173" t="s">
        <v>151</v>
      </c>
      <c s="173">
        <v>0.26000000000000001</v>
      </c>
      <c s="173">
        <v>0.059999999999999998</v>
      </c>
      <c s="173">
        <v>15.220000000000001</v>
      </c>
      <c s="173">
        <v>62.5</v>
      </c>
      <c s="173"/>
      <c s="173">
        <v>0.01</v>
      </c>
      <c s="173">
        <v>2.8999999999999999</v>
      </c>
      <c s="173">
        <v>0</v>
      </c>
      <c s="173">
        <v>0.059999999999999998</v>
      </c>
      <c s="173">
        <v>8.0500000000000007</v>
      </c>
      <c s="173">
        <v>9.7799999999999994</v>
      </c>
      <c s="173">
        <v>0.017000000000000001</v>
      </c>
      <c s="173">
        <v>0</v>
      </c>
      <c s="173">
        <v>5.2400000000000002</v>
      </c>
      <c s="173">
        <v>0.87</v>
      </c>
    </row>
    <row r="118" spans="2:20" ht="15">
      <c r="B118" s="173" t="s">
        <v>224</v>
      </c>
      <c s="352" t="s">
        <v>161</v>
      </c>
      <c s="352"/>
      <c s="173">
        <v>40</v>
      </c>
      <c s="173">
        <v>3.04</v>
      </c>
      <c s="173">
        <v>0.32000000000000001</v>
      </c>
      <c s="173">
        <v>19.68</v>
      </c>
      <c s="173">
        <v>93.799999999999997</v>
      </c>
      <c s="173">
        <v>0.040000000000000001</v>
      </c>
      <c s="173">
        <v>0.01</v>
      </c>
      <c s="173">
        <v>0.88</v>
      </c>
      <c s="173">
        <v>0</v>
      </c>
      <c s="173">
        <v>0.69999999999999996</v>
      </c>
      <c s="173">
        <v>8</v>
      </c>
      <c s="173">
        <v>26</v>
      </c>
      <c s="173">
        <v>0.0080000000000000002</v>
      </c>
      <c s="173">
        <v>0.0030000000000000001</v>
      </c>
      <c s="173">
        <v>0</v>
      </c>
      <c s="173">
        <v>0.44</v>
      </c>
    </row>
    <row r="119" spans="2:20" ht="17.25" customHeight="1">
      <c r="B119" s="194" t="s">
        <v>251</v>
      </c>
      <c s="195"/>
      <c s="196"/>
      <c s="190">
        <f>E114+E115+E116+E118+204</f>
        <v>584</v>
      </c>
      <c s="190">
        <f>SUM(F114:F118)</f>
        <v>20.515000000000001</v>
      </c>
      <c s="190">
        <f>SUM(G114:G118)</f>
        <v>16.891000000000002</v>
      </c>
      <c s="190">
        <f t="shared" si="23" ref="H119:T119">SUM(H114:H118)</f>
        <v>75.259</v>
      </c>
      <c s="190">
        <f t="shared" si="23"/>
        <v>534.64999999999998</v>
      </c>
      <c s="190">
        <f t="shared" si="23"/>
        <v>0.23300000000000001</v>
      </c>
      <c s="190">
        <f t="shared" si="23"/>
        <v>0.16900000000000004</v>
      </c>
      <c s="190">
        <f t="shared" si="23"/>
        <v>13.343</v>
      </c>
      <c s="190">
        <f t="shared" si="23"/>
        <v>1.381</v>
      </c>
      <c s="190">
        <f t="shared" si="23"/>
        <v>4.2350000000000003</v>
      </c>
      <c s="190">
        <f t="shared" si="23"/>
        <v>75.798000000000002</v>
      </c>
      <c s="190">
        <f t="shared" si="23"/>
        <v>200.261</v>
      </c>
      <c s="190">
        <f t="shared" si="23"/>
        <v>0.83500000000000008</v>
      </c>
      <c s="190">
        <f t="shared" si="23"/>
        <v>0.0050000000000000001</v>
      </c>
      <c s="190">
        <f t="shared" si="23"/>
        <v>47.336999999999996</v>
      </c>
      <c s="190">
        <f t="shared" si="23"/>
        <v>6.3600000000000003</v>
      </c>
    </row>
    <row r="120" spans="2:20" ht="15">
      <c r="B120" s="353" t="s">
        <v>226</v>
      </c>
      <c s="353"/>
      <c s="353"/>
      <c s="353"/>
      <c s="191">
        <f t="shared" si="24" ref="F120:T120">F119/F137</f>
        <v>0.26642857142857146</v>
      </c>
      <c s="191">
        <f t="shared" si="24"/>
        <v>0.21381012658227849</v>
      </c>
      <c s="191">
        <f t="shared" si="24"/>
        <v>0.22465373134328359</v>
      </c>
      <c s="191">
        <f t="shared" si="24"/>
        <v>0.22751063829787233</v>
      </c>
      <c s="191">
        <f t="shared" si="24"/>
        <v>0.19416666666666668</v>
      </c>
      <c s="191">
        <f t="shared" si="24"/>
        <v>0.12071428571428575</v>
      </c>
      <c s="191">
        <f t="shared" si="24"/>
        <v>0.22238333333333332</v>
      </c>
      <c s="191">
        <f t="shared" si="24"/>
        <v>1.9728571428571431</v>
      </c>
      <c s="191">
        <f t="shared" si="24"/>
        <v>0.42350000000000004</v>
      </c>
      <c s="191">
        <f t="shared" si="24"/>
        <v>0.068907272727272734</v>
      </c>
      <c s="191">
        <f t="shared" si="24"/>
        <v>0.18205545454545455</v>
      </c>
      <c s="191">
        <f t="shared" si="24"/>
        <v>0.083500000000000005</v>
      </c>
      <c s="191">
        <f t="shared" si="24"/>
        <v>0.049999999999999996</v>
      </c>
      <c s="191">
        <f t="shared" si="24"/>
        <v>0.18934799999999999</v>
      </c>
      <c s="191">
        <f t="shared" si="24"/>
        <v>0.53000000000000003</v>
      </c>
    </row>
    <row r="121" spans="2:20" ht="15">
      <c r="B121" s="353" t="s">
        <v>227</v>
      </c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</row>
    <row r="122" spans="2:20" s="197" customFormat="1" ht="18" customHeight="1">
      <c r="B122" s="173">
        <v>115</v>
      </c>
      <c s="352" t="s">
        <v>279</v>
      </c>
      <c s="352"/>
      <c s="173">
        <v>60</v>
      </c>
      <c s="173">
        <v>1.1399999999999999</v>
      </c>
      <c s="173">
        <v>5.3399999999999999</v>
      </c>
      <c s="173">
        <v>4.6200000000000001</v>
      </c>
      <c s="173">
        <v>71.400000000000006</v>
      </c>
      <c s="173">
        <v>0.01</v>
      </c>
      <c s="173">
        <v>0</v>
      </c>
      <c s="173">
        <v>4.2000000000000002</v>
      </c>
      <c s="173">
        <v>0.01</v>
      </c>
      <c s="173"/>
      <c s="173">
        <v>24.600000000000001</v>
      </c>
      <c s="173">
        <v>22.199999999999999</v>
      </c>
      <c s="173"/>
      <c s="173">
        <v>0</v>
      </c>
      <c s="173">
        <v>9</v>
      </c>
      <c s="173">
        <v>0.41999999999999998</v>
      </c>
    </row>
    <row r="123" spans="2:20" ht="27" customHeight="1">
      <c r="B123" s="173">
        <v>96</v>
      </c>
      <c s="352" t="s">
        <v>280</v>
      </c>
      <c s="352"/>
      <c s="173">
        <v>200</v>
      </c>
      <c s="173">
        <v>2.1000000000000001</v>
      </c>
      <c s="173">
        <v>4.9000000000000004</v>
      </c>
      <c s="173">
        <v>13.6</v>
      </c>
      <c s="173">
        <v>107</v>
      </c>
      <c s="173">
        <v>0.10000000000000001</v>
      </c>
      <c s="173">
        <v>0.058999999999999997</v>
      </c>
      <c s="173">
        <v>12.800000000000001</v>
      </c>
      <c s="173">
        <v>0.029999999999999999</v>
      </c>
      <c s="173">
        <v>0</v>
      </c>
      <c s="173">
        <v>20.199999999999999</v>
      </c>
      <c s="173">
        <v>56.799999999999997</v>
      </c>
      <c s="173">
        <v>0</v>
      </c>
      <c s="173">
        <v>0</v>
      </c>
      <c s="173">
        <v>21.399999999999999</v>
      </c>
      <c s="173">
        <v>0.76000000000000001</v>
      </c>
    </row>
    <row r="124" spans="2:20" ht="18.75" customHeight="1">
      <c r="B124" s="173">
        <v>266</v>
      </c>
      <c s="352" t="s">
        <v>281</v>
      </c>
      <c s="352"/>
      <c s="173">
        <v>90</v>
      </c>
      <c s="173">
        <v>16.699999999999999</v>
      </c>
      <c s="173">
        <v>23.300000000000001</v>
      </c>
      <c s="173">
        <v>4.2999999999999998</v>
      </c>
      <c s="173">
        <v>293.39999999999998</v>
      </c>
      <c s="173">
        <v>0.20000000000000001</v>
      </c>
      <c s="173">
        <v>0.23599999999999999</v>
      </c>
      <c s="173">
        <v>0.5</v>
      </c>
      <c s="173">
        <v>0.050000000000000003</v>
      </c>
      <c s="173">
        <v>0.067500000000000004</v>
      </c>
      <c s="173">
        <v>54.5</v>
      </c>
      <c s="173">
        <v>200.09999999999999</v>
      </c>
      <c s="173">
        <v>2.5699999999999998</v>
      </c>
      <c s="173">
        <v>0.044999999999999998</v>
      </c>
      <c s="173">
        <v>27.5</v>
      </c>
      <c s="173">
        <v>2.1699999999999999</v>
      </c>
    </row>
    <row r="125" spans="2:20" ht="25.5" customHeight="1">
      <c r="B125" s="173">
        <v>312</v>
      </c>
      <c s="352" t="s">
        <v>256</v>
      </c>
      <c s="352"/>
      <c s="173">
        <v>150</v>
      </c>
      <c s="173">
        <v>3.29</v>
      </c>
      <c s="173">
        <v>7.0599999999999996</v>
      </c>
      <c s="173">
        <v>22.210000000000001</v>
      </c>
      <c s="173">
        <v>165.53999999999999</v>
      </c>
      <c s="173">
        <v>0.16</v>
      </c>
      <c s="173">
        <v>0.13</v>
      </c>
      <c s="173">
        <v>26.109999999999999</v>
      </c>
      <c s="173">
        <v>0.080000000000000002</v>
      </c>
      <c s="173">
        <v>1.5</v>
      </c>
      <c s="173">
        <v>42.539999999999999</v>
      </c>
      <c s="173">
        <v>97.799999999999997</v>
      </c>
      <c s="173">
        <v>0.29899999999999999</v>
      </c>
      <c s="173">
        <v>0.001</v>
      </c>
      <c s="173">
        <v>33.060000000000002</v>
      </c>
      <c s="173">
        <v>1.1899999999999999</v>
      </c>
    </row>
    <row r="126" spans="2:20" ht="28.5" customHeight="1">
      <c r="B126" s="173">
        <v>349</v>
      </c>
      <c s="352" t="s">
        <v>239</v>
      </c>
      <c s="352"/>
      <c s="173">
        <v>200</v>
      </c>
      <c s="173">
        <v>0.22</v>
      </c>
      <c s="173"/>
      <c s="173">
        <v>24.420000000000002</v>
      </c>
      <c s="173">
        <v>98.560000000000002</v>
      </c>
      <c s="173"/>
      <c s="173"/>
      <c s="173">
        <v>0.20000000000000001</v>
      </c>
      <c s="173"/>
      <c s="173"/>
      <c s="173">
        <v>22.600000000000001</v>
      </c>
      <c s="173">
        <v>7.7000000000000002</v>
      </c>
      <c s="173">
        <v>0</v>
      </c>
      <c s="173">
        <v>0</v>
      </c>
      <c s="173">
        <v>3</v>
      </c>
      <c s="173">
        <v>0.66000000000000003</v>
      </c>
    </row>
    <row r="127" spans="2:20" ht="18.75" customHeight="1">
      <c r="B127" s="173" t="s">
        <v>224</v>
      </c>
      <c s="352" t="s">
        <v>235</v>
      </c>
      <c s="352"/>
      <c s="173">
        <v>40</v>
      </c>
      <c s="173">
        <v>2.6400000000000001</v>
      </c>
      <c s="173">
        <v>0.47999999999999998</v>
      </c>
      <c s="173">
        <v>13.68</v>
      </c>
      <c s="173">
        <v>69.599999999999994</v>
      </c>
      <c s="173">
        <v>0.080000000000000002</v>
      </c>
      <c s="173">
        <v>0.040000000000000001</v>
      </c>
      <c s="173">
        <v>0</v>
      </c>
      <c s="173">
        <v>0</v>
      </c>
      <c s="173">
        <v>2.3999999999999999</v>
      </c>
      <c s="173">
        <v>14</v>
      </c>
      <c s="173">
        <v>63.200000000000003</v>
      </c>
      <c s="173">
        <v>1.2</v>
      </c>
      <c s="173">
        <v>0.001</v>
      </c>
      <c s="173">
        <v>9.4000000000000004</v>
      </c>
      <c s="173">
        <v>0.78000000000000003</v>
      </c>
    </row>
    <row r="128" spans="2:20" ht="15">
      <c r="B128" s="173" t="s">
        <v>224</v>
      </c>
      <c s="352" t="s">
        <v>117</v>
      </c>
      <c s="352"/>
      <c s="173">
        <v>30</v>
      </c>
      <c s="173">
        <v>1.52</v>
      </c>
      <c s="173">
        <v>0.16</v>
      </c>
      <c s="173">
        <v>9.8399999999999999</v>
      </c>
      <c s="173">
        <v>46.899999999999999</v>
      </c>
      <c s="173">
        <v>0.02</v>
      </c>
      <c s="173">
        <v>0.01</v>
      </c>
      <c s="173">
        <v>0.44</v>
      </c>
      <c s="173">
        <v>0</v>
      </c>
      <c s="173">
        <v>0.69999999999999996</v>
      </c>
      <c s="173">
        <v>4</v>
      </c>
      <c s="173">
        <v>13</v>
      </c>
      <c s="173">
        <v>0.0080000000000000002</v>
      </c>
      <c s="173">
        <v>0.001</v>
      </c>
      <c s="173">
        <v>0</v>
      </c>
      <c s="173">
        <v>0.22</v>
      </c>
    </row>
    <row r="129" spans="2:20" ht="25.5" customHeight="1">
      <c r="B129" s="353" t="s">
        <v>236</v>
      </c>
      <c s="353"/>
      <c s="353"/>
      <c s="190">
        <f>SUM(E122:E128)</f>
        <v>770</v>
      </c>
      <c s="190">
        <f>SUM(F122:F128)</f>
        <v>27.609999999999996</v>
      </c>
      <c s="190">
        <f t="shared" si="25" ref="G129:T129">SUM(G122:G128)</f>
        <v>41.239999999999995</v>
      </c>
      <c s="190">
        <f t="shared" si="25"/>
        <v>92.670000000000016</v>
      </c>
      <c s="190">
        <f t="shared" si="25"/>
        <v>852.39999999999986</v>
      </c>
      <c s="190">
        <f t="shared" si="25"/>
        <v>0.56999999999999995</v>
      </c>
      <c s="190">
        <f t="shared" si="25"/>
        <v>0.47499999999999998</v>
      </c>
      <c s="190">
        <f t="shared" si="25"/>
        <v>44.25</v>
      </c>
      <c s="190">
        <f t="shared" si="25"/>
        <v>0.16999999999999998</v>
      </c>
      <c s="190">
        <f t="shared" si="25"/>
        <v>4.6674999999999995</v>
      </c>
      <c s="190">
        <f t="shared" si="25"/>
        <v>182.44</v>
      </c>
      <c s="190">
        <f t="shared" si="25"/>
        <v>460.80000000000001</v>
      </c>
      <c s="190">
        <f t="shared" si="25"/>
        <v>4.077</v>
      </c>
      <c s="190">
        <f t="shared" si="25"/>
        <v>0.048000000000000001</v>
      </c>
      <c s="190">
        <f t="shared" si="25"/>
        <v>103.36000000000001</v>
      </c>
      <c s="190">
        <f t="shared" si="25"/>
        <v>6.1999999999999993</v>
      </c>
    </row>
    <row r="130" spans="2:20" ht="15">
      <c r="B130" s="353" t="s">
        <v>226</v>
      </c>
      <c s="353"/>
      <c s="353"/>
      <c s="353"/>
      <c s="191">
        <f t="shared" si="26" ref="F130:T130">F129/F137</f>
        <v>0.35857142857142854</v>
      </c>
      <c s="191">
        <f t="shared" si="26"/>
        <v>0.52202531645569616</v>
      </c>
      <c s="191">
        <f t="shared" si="26"/>
        <v>0.27662686567164185</v>
      </c>
      <c s="191">
        <f t="shared" si="26"/>
        <v>0.36272340425531907</v>
      </c>
      <c s="191">
        <f t="shared" si="26"/>
        <v>0.47499999999999998</v>
      </c>
      <c s="191">
        <f t="shared" si="26"/>
        <v>0.3392857142857143</v>
      </c>
      <c s="191">
        <f t="shared" si="26"/>
        <v>0.73750000000000004</v>
      </c>
      <c s="191">
        <f t="shared" si="26"/>
        <v>0.24285714285714285</v>
      </c>
      <c s="191">
        <f t="shared" si="26"/>
        <v>0.46674999999999994</v>
      </c>
      <c s="191">
        <f t="shared" si="26"/>
        <v>0.16585454545454545</v>
      </c>
      <c s="191">
        <f t="shared" si="26"/>
        <v>0.4189090909090909</v>
      </c>
      <c s="191">
        <f t="shared" si="26"/>
        <v>0.40770000000000001</v>
      </c>
      <c s="191">
        <f t="shared" si="26"/>
        <v>0.47999999999999998</v>
      </c>
      <c s="191">
        <f t="shared" si="26"/>
        <v>0.41344000000000003</v>
      </c>
      <c s="191">
        <f t="shared" si="26"/>
        <v>0.51666666666666661</v>
      </c>
    </row>
    <row r="131" spans="2:20" ht="15">
      <c r="B131" s="353" t="s">
        <v>237</v>
      </c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</row>
    <row r="132" spans="2:20" ht="15">
      <c r="B132" s="177" t="s">
        <v>224</v>
      </c>
      <c s="345" t="s">
        <v>282</v>
      </c>
      <c s="345"/>
      <c s="177">
        <v>65</v>
      </c>
      <c s="177">
        <v>4.1600000000000001</v>
      </c>
      <c s="177">
        <v>8.1400000000000006</v>
      </c>
      <c s="177">
        <v>33.799999999999997</v>
      </c>
      <c s="177">
        <v>225.34</v>
      </c>
      <c s="177">
        <v>0.059999999999999998</v>
      </c>
      <c s="177">
        <v>0.050000000000000003</v>
      </c>
      <c s="177">
        <v>0</v>
      </c>
      <c s="177">
        <v>0.059999999999999998</v>
      </c>
      <c s="177"/>
      <c s="177">
        <v>11.26</v>
      </c>
      <c s="177">
        <v>0</v>
      </c>
      <c s="177"/>
      <c s="177">
        <v>0</v>
      </c>
      <c s="177">
        <v>0</v>
      </c>
      <c s="177">
        <v>0.59999999999999998</v>
      </c>
    </row>
    <row r="133" spans="2:20" ht="19.5" customHeight="1">
      <c r="B133" s="173">
        <v>389</v>
      </c>
      <c s="352" t="s">
        <v>283</v>
      </c>
      <c s="352"/>
      <c s="173">
        <v>200</v>
      </c>
      <c s="173">
        <v>1</v>
      </c>
      <c s="173">
        <v>0.20000000000000001</v>
      </c>
      <c s="173">
        <v>20.199999999999999</v>
      </c>
      <c s="173">
        <v>87</v>
      </c>
      <c s="173">
        <v>0</v>
      </c>
      <c s="173">
        <v>0.080000000000000002</v>
      </c>
      <c s="173">
        <v>4</v>
      </c>
      <c s="173">
        <v>0</v>
      </c>
      <c s="173">
        <v>0</v>
      </c>
      <c s="173">
        <v>31.100000000000001</v>
      </c>
      <c s="173">
        <v>18</v>
      </c>
      <c s="173">
        <v>0</v>
      </c>
      <c s="173">
        <v>0</v>
      </c>
      <c s="173">
        <v>8</v>
      </c>
      <c s="173">
        <v>0.71999999999999997</v>
      </c>
    </row>
    <row r="134" spans="2:20" ht="25.5" customHeight="1">
      <c r="B134" s="349" t="s">
        <v>240</v>
      </c>
      <c s="350"/>
      <c s="351"/>
      <c s="178">
        <f>E132+E133</f>
        <v>265</v>
      </c>
      <c s="178">
        <f>F132+F133</f>
        <v>5.1600000000000001</v>
      </c>
      <c s="178">
        <f t="shared" si="27" ref="G134:T134">G132+G133</f>
        <v>8.3399999999999999</v>
      </c>
      <c s="178">
        <f t="shared" si="27"/>
        <v>54</v>
      </c>
      <c s="178">
        <f t="shared" si="27"/>
        <v>312.34000000000003</v>
      </c>
      <c s="178">
        <f t="shared" si="27"/>
        <v>0.059999999999999998</v>
      </c>
      <c s="178">
        <f t="shared" si="27"/>
        <v>0.13</v>
      </c>
      <c s="178">
        <f t="shared" si="27"/>
        <v>4</v>
      </c>
      <c s="178">
        <f t="shared" si="27"/>
        <v>0.059999999999999998</v>
      </c>
      <c s="178">
        <f t="shared" si="27"/>
        <v>0</v>
      </c>
      <c s="178">
        <f t="shared" si="27"/>
        <v>42.359999999999999</v>
      </c>
      <c s="178">
        <f t="shared" si="27"/>
        <v>18</v>
      </c>
      <c s="178">
        <f t="shared" si="27"/>
        <v>0</v>
      </c>
      <c s="178">
        <f t="shared" si="27"/>
        <v>0</v>
      </c>
      <c s="178">
        <f t="shared" si="27"/>
        <v>8</v>
      </c>
      <c s="178">
        <f t="shared" si="27"/>
        <v>1.3199999999999998</v>
      </c>
    </row>
    <row r="135" spans="2:20" ht="15" customHeight="1">
      <c r="B135" s="343" t="s">
        <v>226</v>
      </c>
      <c s="343"/>
      <c s="343"/>
      <c s="343"/>
      <c s="179">
        <f>F134/F137</f>
        <v>0.06701298701298701</v>
      </c>
      <c s="179">
        <f t="shared" si="28" ref="G135:T135">G134/G137</f>
        <v>0.10556962025316456</v>
      </c>
      <c s="179">
        <f t="shared" si="28"/>
        <v>0.16119402985074627</v>
      </c>
      <c s="179">
        <f t="shared" si="28"/>
        <v>0.13291063829787236</v>
      </c>
      <c s="179">
        <f t="shared" si="28"/>
        <v>0.050000000000000003</v>
      </c>
      <c s="179">
        <f t="shared" si="28"/>
        <v>0.09285714285714286</v>
      </c>
      <c s="179">
        <f t="shared" si="28"/>
        <v>0.066666666666666666</v>
      </c>
      <c s="179">
        <f t="shared" si="28"/>
        <v>0.085714285714285715</v>
      </c>
      <c s="179">
        <f t="shared" si="28"/>
        <v>0</v>
      </c>
      <c s="179">
        <f t="shared" si="28"/>
        <v>0.038509090909090909</v>
      </c>
      <c s="179">
        <f t="shared" si="28"/>
        <v>0.016363636363636365</v>
      </c>
      <c s="179">
        <f t="shared" si="28"/>
        <v>0</v>
      </c>
      <c s="179">
        <f t="shared" si="28"/>
        <v>0</v>
      </c>
      <c s="179">
        <f t="shared" si="28"/>
        <v>0.032000000000000001</v>
      </c>
      <c s="179">
        <f t="shared" si="28"/>
        <v>0.10999999999999999</v>
      </c>
    </row>
    <row r="136" spans="2:20" ht="15">
      <c r="B136" s="353" t="s">
        <v>241</v>
      </c>
      <c s="353"/>
      <c s="353"/>
      <c s="353"/>
      <c s="190">
        <f>F134+F129+F119</f>
        <v>53.284999999999997</v>
      </c>
      <c s="190">
        <f t="shared" si="29" ref="G136:T136">G134+G129+G119</f>
        <v>66.471000000000004</v>
      </c>
      <c s="190">
        <f t="shared" si="29"/>
        <v>221.92900000000003</v>
      </c>
      <c s="190">
        <f t="shared" si="29"/>
        <v>1699.3899999999999</v>
      </c>
      <c s="190">
        <f t="shared" si="29"/>
        <v>0.86299999999999988</v>
      </c>
      <c s="190">
        <f t="shared" si="29"/>
        <v>0.77400000000000002</v>
      </c>
      <c s="190">
        <f t="shared" si="29"/>
        <v>61.593000000000004</v>
      </c>
      <c s="190">
        <f t="shared" si="29"/>
        <v>1.611</v>
      </c>
      <c s="190">
        <f t="shared" si="29"/>
        <v>8.9024999999999999</v>
      </c>
      <c s="190">
        <f t="shared" si="29"/>
        <v>300.59800000000001</v>
      </c>
      <c s="190">
        <f t="shared" si="29"/>
        <v>679.06100000000004</v>
      </c>
      <c s="190">
        <f t="shared" si="29"/>
        <v>4.9119999999999999</v>
      </c>
      <c s="190">
        <f t="shared" si="29"/>
        <v>0.052999999999999999</v>
      </c>
      <c s="190">
        <f t="shared" si="29"/>
        <v>158.697</v>
      </c>
      <c s="190">
        <f t="shared" si="29"/>
        <v>13.879999999999999</v>
      </c>
    </row>
    <row r="137" spans="2:20" ht="15">
      <c r="B137" s="353" t="s">
        <v>242</v>
      </c>
      <c s="353"/>
      <c s="353"/>
      <c s="353"/>
      <c s="173">
        <v>77</v>
      </c>
      <c s="173">
        <v>79</v>
      </c>
      <c s="173">
        <v>335</v>
      </c>
      <c s="173">
        <v>2350</v>
      </c>
      <c s="173">
        <v>1.2</v>
      </c>
      <c s="173">
        <v>1.3999999999999999</v>
      </c>
      <c s="173">
        <v>60</v>
      </c>
      <c s="173">
        <v>0.69999999999999996</v>
      </c>
      <c s="173">
        <v>10</v>
      </c>
      <c s="173">
        <v>1100</v>
      </c>
      <c s="173">
        <v>1100</v>
      </c>
      <c s="173">
        <v>10</v>
      </c>
      <c s="173">
        <v>0.10000000000000001</v>
      </c>
      <c s="173">
        <v>250</v>
      </c>
      <c s="173">
        <v>12</v>
      </c>
    </row>
    <row r="138" spans="2:20" ht="15">
      <c r="B138" s="353" t="s">
        <v>226</v>
      </c>
      <c s="353"/>
      <c s="353"/>
      <c s="353"/>
      <c s="191">
        <f>F136/F137</f>
        <v>0.69201298701298697</v>
      </c>
      <c s="191">
        <f t="shared" si="30" ref="G138:T138">G136/G137</f>
        <v>0.84140506329113929</v>
      </c>
      <c s="191">
        <f t="shared" si="30"/>
        <v>0.66247462686567171</v>
      </c>
      <c s="191">
        <f t="shared" si="30"/>
        <v>0.72314468085106376</v>
      </c>
      <c s="191">
        <f t="shared" si="30"/>
        <v>0.71916666666666662</v>
      </c>
      <c s="191">
        <f t="shared" si="30"/>
        <v>0.55285714285714294</v>
      </c>
      <c s="191">
        <f t="shared" si="30"/>
        <v>1.0265500000000001</v>
      </c>
      <c s="191">
        <f t="shared" si="30"/>
        <v>2.3014285714285716</v>
      </c>
      <c s="191">
        <f t="shared" si="30"/>
        <v>0.89024999999999999</v>
      </c>
      <c s="191">
        <f t="shared" si="30"/>
        <v>0.27327090909090912</v>
      </c>
      <c s="191">
        <f t="shared" si="30"/>
        <v>0.61732818181818183</v>
      </c>
      <c s="191">
        <f t="shared" si="30"/>
        <v>0.49119999999999997</v>
      </c>
      <c s="191">
        <f t="shared" si="30"/>
        <v>0.52999999999999992</v>
      </c>
      <c s="191">
        <f t="shared" si="30"/>
        <v>0.63478800000000002</v>
      </c>
      <c s="191">
        <f t="shared" si="30"/>
        <v>1.1566666666666665</v>
      </c>
    </row>
    <row r="139" spans="2:20" ht="15">
      <c r="B139" s="172"/>
      <c s="173"/>
      <c s="173"/>
      <c s="173"/>
      <c s="173"/>
      <c s="173"/>
      <c s="173"/>
      <c s="173"/>
      <c s="173"/>
      <c s="173"/>
      <c s="173"/>
      <c s="356" t="s">
        <v>187</v>
      </c>
      <c s="356"/>
      <c s="356"/>
      <c s="356"/>
      <c s="356"/>
      <c s="356"/>
      <c s="356"/>
      <c s="356"/>
    </row>
    <row r="140" spans="2:20" ht="15">
      <c r="B140" s="353" t="s">
        <v>284</v>
      </c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</row>
    <row r="141" spans="2:20" ht="15">
      <c r="B141" s="353" t="s">
        <v>189</v>
      </c>
      <c s="353"/>
      <c s="173"/>
      <c s="173"/>
      <c s="173"/>
      <c s="356" t="s">
        <v>285</v>
      </c>
      <c s="356"/>
      <c s="356"/>
      <c s="173"/>
      <c s="173"/>
      <c s="353" t="s">
        <v>191</v>
      </c>
      <c s="353"/>
      <c s="356" t="s">
        <v>286</v>
      </c>
      <c s="356"/>
      <c s="356"/>
      <c s="356"/>
      <c s="173"/>
      <c s="173"/>
      <c s="173"/>
    </row>
    <row r="142" spans="2:20" ht="15">
      <c r="B142" s="173"/>
      <c s="173"/>
      <c s="173"/>
      <c s="353" t="s">
        <v>194</v>
      </c>
      <c s="353"/>
      <c s="173">
        <v>1</v>
      </c>
      <c s="173"/>
      <c s="173"/>
      <c s="173"/>
      <c s="173"/>
      <c s="353" t="s">
        <v>195</v>
      </c>
      <c s="353"/>
      <c s="356" t="s">
        <v>196</v>
      </c>
      <c s="356"/>
      <c s="356"/>
      <c s="356"/>
      <c s="356"/>
      <c s="356"/>
      <c s="356"/>
    </row>
    <row r="143" spans="2:20" ht="15">
      <c r="B143" s="174" t="s">
        <v>0</v>
      </c>
      <c s="354" t="s">
        <v>198</v>
      </c>
      <c s="354"/>
      <c s="354" t="s">
        <v>199</v>
      </c>
      <c s="354" t="s">
        <v>200</v>
      </c>
      <c s="354"/>
      <c s="354"/>
      <c s="174" t="s">
        <v>201</v>
      </c>
      <c s="354" t="s">
        <v>202</v>
      </c>
      <c s="354"/>
      <c s="354"/>
      <c s="354"/>
      <c s="354"/>
      <c s="354" t="s">
        <v>203</v>
      </c>
      <c s="354"/>
      <c s="354"/>
      <c s="354"/>
      <c s="354"/>
      <c s="354"/>
    </row>
    <row r="144" spans="2:20" ht="51">
      <c r="B144" s="174" t="s">
        <v>245</v>
      </c>
      <c s="354"/>
      <c s="354"/>
      <c s="354"/>
      <c s="174" t="s">
        <v>204</v>
      </c>
      <c s="174" t="s">
        <v>205</v>
      </c>
      <c s="174" t="s">
        <v>206</v>
      </c>
      <c s="174" t="s">
        <v>207</v>
      </c>
      <c s="174" t="s">
        <v>208</v>
      </c>
      <c s="174" t="s">
        <v>209</v>
      </c>
      <c s="174" t="s">
        <v>210</v>
      </c>
      <c s="174" t="s">
        <v>211</v>
      </c>
      <c s="174" t="s">
        <v>212</v>
      </c>
      <c s="174" t="s">
        <v>213</v>
      </c>
      <c s="174" t="s">
        <v>214</v>
      </c>
      <c s="174" t="s">
        <v>215</v>
      </c>
      <c s="174" t="s">
        <v>216</v>
      </c>
      <c s="174" t="s">
        <v>217</v>
      </c>
      <c s="174" t="s">
        <v>218</v>
      </c>
    </row>
    <row r="145" spans="2:20" ht="15">
      <c r="B145" s="175">
        <v>1</v>
      </c>
      <c s="355">
        <v>2</v>
      </c>
      <c s="355"/>
      <c s="175">
        <v>3</v>
      </c>
      <c s="175">
        <v>4</v>
      </c>
      <c s="175">
        <v>5</v>
      </c>
      <c s="175">
        <v>6</v>
      </c>
      <c s="175">
        <v>7</v>
      </c>
      <c s="175">
        <v>8</v>
      </c>
      <c s="175">
        <v>9</v>
      </c>
      <c s="175">
        <v>10</v>
      </c>
      <c s="175">
        <v>11</v>
      </c>
      <c s="175">
        <v>12</v>
      </c>
      <c s="175">
        <v>13</v>
      </c>
      <c s="175">
        <v>14</v>
      </c>
      <c s="175">
        <v>15</v>
      </c>
      <c s="175">
        <v>16</v>
      </c>
      <c s="175">
        <v>17</v>
      </c>
      <c s="175">
        <v>18</v>
      </c>
    </row>
    <row r="146" spans="2:20" ht="15">
      <c r="B146" s="353" t="s">
        <v>219</v>
      </c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</row>
    <row r="147" spans="2:20" ht="30.75" customHeight="1">
      <c r="B147" s="241" t="s">
        <v>340</v>
      </c>
      <c s="344" t="s">
        <v>339</v>
      </c>
      <c s="344"/>
      <c s="177">
        <v>40</v>
      </c>
      <c s="242">
        <v>1.1200000000000001</v>
      </c>
      <c s="242">
        <v>0</v>
      </c>
      <c s="242">
        <v>0.52000000000000002</v>
      </c>
      <c s="241">
        <v>6.4400000000000004</v>
      </c>
      <c s="242">
        <v>0</v>
      </c>
      <c s="242">
        <v>0</v>
      </c>
      <c s="242">
        <v>0</v>
      </c>
      <c s="242">
        <v>0</v>
      </c>
      <c s="242">
        <v>0</v>
      </c>
      <c s="242">
        <v>0</v>
      </c>
      <c s="242">
        <v>0</v>
      </c>
      <c s="242">
        <v>0</v>
      </c>
      <c s="242">
        <v>0</v>
      </c>
      <c s="242">
        <v>0</v>
      </c>
      <c s="242">
        <v>0</v>
      </c>
    </row>
    <row r="148" spans="2:20" ht="27" customHeight="1">
      <c r="B148" s="184">
        <v>71</v>
      </c>
      <c s="345" t="s">
        <v>338</v>
      </c>
      <c s="345"/>
      <c s="184">
        <v>40</v>
      </c>
      <c s="184">
        <v>0.33000000000000002</v>
      </c>
      <c s="184">
        <v>0.040000000000000001</v>
      </c>
      <c s="184">
        <v>1.1299999999999999</v>
      </c>
      <c s="184">
        <v>6.2300000000000004</v>
      </c>
      <c s="184">
        <v>0.0089999999999999993</v>
      </c>
      <c s="184">
        <v>0.01</v>
      </c>
      <c s="184">
        <v>3</v>
      </c>
      <c s="184">
        <v>0.0030000000000000001</v>
      </c>
      <c s="184">
        <v>0.029999999999999999</v>
      </c>
      <c s="184">
        <v>6.9000000000000004</v>
      </c>
      <c s="184">
        <v>12.6</v>
      </c>
      <c s="184">
        <v>0.064000000000000001</v>
      </c>
      <c s="184">
        <v>0.001</v>
      </c>
      <c s="184">
        <v>4.2000000000000002</v>
      </c>
      <c s="184">
        <v>0.17999999999999999</v>
      </c>
    </row>
    <row r="149" spans="2:20" ht="25.5" customHeight="1">
      <c r="B149" s="198">
        <v>210</v>
      </c>
      <c s="364" t="s">
        <v>287</v>
      </c>
      <c s="364"/>
      <c s="198">
        <v>200</v>
      </c>
      <c s="198">
        <v>18.579999999999998</v>
      </c>
      <c s="198">
        <v>33.100000000000001</v>
      </c>
      <c s="198">
        <v>3.52</v>
      </c>
      <c s="198">
        <v>386.19999999999999</v>
      </c>
      <c s="198">
        <v>0.14000000000000001</v>
      </c>
      <c s="198">
        <v>0.68000000000000005</v>
      </c>
      <c s="198">
        <v>0.34000000000000002</v>
      </c>
      <c s="198">
        <v>0.14000000000000001</v>
      </c>
      <c s="198"/>
      <c s="198">
        <v>137.44</v>
      </c>
      <c s="198">
        <v>301.04000000000002</v>
      </c>
      <c s="198"/>
      <c s="198">
        <v>0</v>
      </c>
      <c s="198">
        <v>21.52</v>
      </c>
      <c s="198">
        <v>3.52</v>
      </c>
    </row>
    <row r="150" spans="2:20" ht="18.75" customHeight="1">
      <c r="B150" s="173">
        <v>338</v>
      </c>
      <c s="352" t="s">
        <v>288</v>
      </c>
      <c s="352"/>
      <c s="173">
        <v>100</v>
      </c>
      <c s="173">
        <v>0.40000000000000002</v>
      </c>
      <c s="173">
        <v>0.40000000000000002</v>
      </c>
      <c s="173">
        <v>9.8000000000000007</v>
      </c>
      <c s="173">
        <v>42</v>
      </c>
      <c s="173">
        <v>0.040000000000000001</v>
      </c>
      <c s="173">
        <v>0.02</v>
      </c>
      <c s="173">
        <v>10</v>
      </c>
      <c s="173">
        <v>0</v>
      </c>
      <c s="173">
        <v>0.20000000000000001</v>
      </c>
      <c s="173">
        <v>16</v>
      </c>
      <c s="173">
        <v>11</v>
      </c>
      <c s="173">
        <v>0</v>
      </c>
      <c s="173">
        <v>0</v>
      </c>
      <c s="173">
        <v>9</v>
      </c>
      <c s="173">
        <v>2.2000000000000002</v>
      </c>
    </row>
    <row r="151" spans="2:20" ht="19.5" customHeight="1">
      <c r="B151" s="173">
        <v>376</v>
      </c>
      <c s="352" t="s">
        <v>141</v>
      </c>
      <c s="352"/>
      <c s="173">
        <v>200</v>
      </c>
      <c s="173">
        <v>0.20000000000000001</v>
      </c>
      <c s="173">
        <v>0.050000000000000003</v>
      </c>
      <c s="173">
        <v>15.01</v>
      </c>
      <c s="173">
        <v>61</v>
      </c>
      <c s="173">
        <v>0</v>
      </c>
      <c s="173">
        <v>0.01</v>
      </c>
      <c s="173">
        <v>9</v>
      </c>
      <c s="173">
        <v>0.0001</v>
      </c>
      <c s="173">
        <v>0.044999999999999998</v>
      </c>
      <c s="173">
        <v>5.25</v>
      </c>
      <c s="173">
        <v>8.2400000000000002</v>
      </c>
      <c s="173">
        <v>0.0080000000000000002</v>
      </c>
      <c s="173">
        <v>0</v>
      </c>
      <c s="173">
        <v>4.4000000000000004</v>
      </c>
      <c s="173">
        <v>0.87</v>
      </c>
    </row>
    <row r="152" spans="2:20" ht="18.75" customHeight="1">
      <c r="B152" s="173" t="s">
        <v>224</v>
      </c>
      <c s="352" t="s">
        <v>267</v>
      </c>
      <c s="352"/>
      <c s="173">
        <v>40</v>
      </c>
      <c s="173">
        <v>2.6699999999999999</v>
      </c>
      <c s="173">
        <v>0.53000000000000003</v>
      </c>
      <c s="173">
        <v>13.73</v>
      </c>
      <c s="173">
        <v>70.400000000000006</v>
      </c>
      <c s="173">
        <v>0.13</v>
      </c>
      <c s="173">
        <v>0.012999999999999999</v>
      </c>
      <c s="173">
        <v>0.10000000000000001</v>
      </c>
      <c s="173">
        <v>0</v>
      </c>
      <c s="173">
        <v>0.93000000000000005</v>
      </c>
      <c s="173">
        <v>14</v>
      </c>
      <c s="173">
        <v>63.200000000000003</v>
      </c>
      <c s="173">
        <v>0.012999999999999999</v>
      </c>
      <c s="173">
        <v>0.012999999999999999</v>
      </c>
      <c s="173">
        <v>18.800000000000001</v>
      </c>
      <c s="173">
        <v>1.6000000000000001</v>
      </c>
    </row>
    <row r="153" spans="2:20" ht="15">
      <c r="B153" s="353" t="s">
        <v>225</v>
      </c>
      <c s="353"/>
      <c s="353"/>
      <c s="190">
        <f>SUM(E148:E152)</f>
        <v>580</v>
      </c>
      <c s="190">
        <f t="shared" si="31" ref="F153:T153">SUM(F148:F152)</f>
        <v>22.179999999999993</v>
      </c>
      <c s="190">
        <f t="shared" si="31"/>
        <v>34.119999999999997</v>
      </c>
      <c s="190">
        <f t="shared" si="31"/>
        <v>43.189999999999998</v>
      </c>
      <c s="190">
        <f t="shared" si="31"/>
        <v>565.83000000000004</v>
      </c>
      <c s="190">
        <f t="shared" si="31"/>
        <v>0.31900000000000006</v>
      </c>
      <c s="190">
        <f t="shared" si="31"/>
        <v>0.7330000000000001</v>
      </c>
      <c s="190">
        <f t="shared" si="31"/>
        <v>22.440000000000001</v>
      </c>
      <c s="190">
        <f t="shared" si="31"/>
        <v>0.1431</v>
      </c>
      <c s="190">
        <f t="shared" si="31"/>
        <v>1.2050000000000001</v>
      </c>
      <c s="190">
        <f t="shared" si="31"/>
        <v>179.59</v>
      </c>
      <c s="190">
        <f t="shared" si="31"/>
        <v>396.08000000000004</v>
      </c>
      <c s="190">
        <f t="shared" si="31"/>
        <v>0.085000000000000006</v>
      </c>
      <c s="190">
        <f t="shared" si="31"/>
        <v>0.013999999999999999</v>
      </c>
      <c s="190">
        <f t="shared" si="31"/>
        <v>57.920000000000002</v>
      </c>
      <c s="190">
        <f t="shared" si="31"/>
        <v>8.370000000000001</v>
      </c>
    </row>
    <row r="154" spans="2:20" ht="15">
      <c r="B154" s="353" t="s">
        <v>226</v>
      </c>
      <c s="353"/>
      <c s="353"/>
      <c s="353"/>
      <c s="191">
        <f>F153/F171</f>
        <v>0.28805194805194795</v>
      </c>
      <c s="191">
        <f t="shared" si="32" ref="G154:T154">G153/G171</f>
        <v>0.43189873417721514</v>
      </c>
      <c s="191">
        <f t="shared" si="32"/>
        <v>0.12892537313432836</v>
      </c>
      <c s="191">
        <f t="shared" si="32"/>
        <v>0.24077872340425532</v>
      </c>
      <c s="191">
        <f t="shared" si="32"/>
        <v>0.26583333333333342</v>
      </c>
      <c s="191">
        <f t="shared" si="32"/>
        <v>0.52357142857142869</v>
      </c>
      <c s="191">
        <f t="shared" si="32"/>
        <v>0.374</v>
      </c>
      <c s="191">
        <f t="shared" si="32"/>
        <v>0.20442857142857146</v>
      </c>
      <c s="191">
        <f t="shared" si="32"/>
        <v>0.12050000000000001</v>
      </c>
      <c s="191">
        <f t="shared" si="32"/>
        <v>0.16326363636363636</v>
      </c>
      <c s="191">
        <f t="shared" si="32"/>
        <v>0.36007272727272732</v>
      </c>
      <c s="191">
        <f t="shared" si="32"/>
        <v>0.0085000000000000006</v>
      </c>
      <c s="191">
        <f t="shared" si="32"/>
        <v>0.13999999999999999</v>
      </c>
      <c s="191">
        <f t="shared" si="32"/>
        <v>0.23168</v>
      </c>
      <c s="191">
        <f t="shared" si="32"/>
        <v>0.69750000000000012</v>
      </c>
    </row>
    <row r="155" spans="2:20" ht="15">
      <c r="B155" s="353" t="s">
        <v>227</v>
      </c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</row>
    <row r="156" spans="2:20" ht="27" customHeight="1">
      <c r="B156" s="173">
        <v>52</v>
      </c>
      <c s="352" t="s">
        <v>252</v>
      </c>
      <c s="352"/>
      <c s="173">
        <v>60</v>
      </c>
      <c s="173">
        <v>0.85999999999999999</v>
      </c>
      <c s="173">
        <v>3.0499999999999998</v>
      </c>
      <c s="173">
        <v>5.1299999999999999</v>
      </c>
      <c s="173">
        <v>50.130000000000003</v>
      </c>
      <c s="173">
        <v>0.01</v>
      </c>
      <c s="173">
        <v>0.02</v>
      </c>
      <c s="173">
        <v>5.7000000000000002</v>
      </c>
      <c s="173">
        <v>0.01</v>
      </c>
      <c s="173">
        <v>0.10000000000000001</v>
      </c>
      <c s="173">
        <v>26.609999999999999</v>
      </c>
      <c s="173">
        <v>25.640000000000001</v>
      </c>
      <c s="173">
        <v>0.42999999999999999</v>
      </c>
      <c s="173">
        <v>0.01</v>
      </c>
      <c s="173">
        <v>12.9</v>
      </c>
      <c s="173">
        <v>0.83999999999999997</v>
      </c>
    </row>
    <row r="157" spans="2:20" ht="27" customHeight="1">
      <c r="B157" s="173" t="s">
        <v>289</v>
      </c>
      <c s="352" t="s">
        <v>290</v>
      </c>
      <c s="352"/>
      <c s="173">
        <v>200</v>
      </c>
      <c s="173">
        <v>2.1000000000000001</v>
      </c>
      <c s="173">
        <v>2.1000000000000001</v>
      </c>
      <c s="173">
        <v>15.5</v>
      </c>
      <c s="173">
        <v>90</v>
      </c>
      <c s="173">
        <v>0.080000000000000002</v>
      </c>
      <c s="173">
        <v>0.040000000000000001</v>
      </c>
      <c s="173">
        <v>5.5999999999999996</v>
      </c>
      <c s="173">
        <v>0.080000000000000002</v>
      </c>
      <c s="173"/>
      <c s="173">
        <v>12.640000000000001</v>
      </c>
      <c s="173">
        <v>0</v>
      </c>
      <c s="173"/>
      <c s="173">
        <v>0</v>
      </c>
      <c s="173">
        <v>19.199999999999999</v>
      </c>
      <c s="173">
        <v>0.71999999999999997</v>
      </c>
    </row>
    <row r="158" spans="2:20" ht="29.25" customHeight="1">
      <c r="B158" s="173">
        <v>295</v>
      </c>
      <c s="352" t="s">
        <v>291</v>
      </c>
      <c s="352"/>
      <c s="173">
        <v>90</v>
      </c>
      <c s="173">
        <v>13.699999999999999</v>
      </c>
      <c s="173">
        <v>5.2000000000000002</v>
      </c>
      <c s="173">
        <v>9.0999999999999996</v>
      </c>
      <c s="173">
        <v>138.41999999999999</v>
      </c>
      <c s="173">
        <v>0.081000000000000003</v>
      </c>
      <c s="173">
        <v>0.070000000000000007</v>
      </c>
      <c s="173">
        <v>0.22</v>
      </c>
      <c s="173">
        <v>0.00089999999999999998</v>
      </c>
      <c s="173">
        <v>0.066600000000000006</v>
      </c>
      <c s="173">
        <v>12.6</v>
      </c>
      <c s="173">
        <v>84.599999999999994</v>
      </c>
      <c s="173">
        <v>1.05</v>
      </c>
      <c s="173">
        <v>0.035999999999999997</v>
      </c>
      <c s="173">
        <v>14.6</v>
      </c>
      <c s="173">
        <v>1.7</v>
      </c>
    </row>
    <row r="159" spans="2:20" ht="15">
      <c r="B159" s="173" t="s">
        <v>292</v>
      </c>
      <c s="352" t="s">
        <v>293</v>
      </c>
      <c s="352"/>
      <c s="173">
        <v>150</v>
      </c>
      <c s="173">
        <v>3.6000000000000001</v>
      </c>
      <c s="173">
        <v>3.5099999999999998</v>
      </c>
      <c s="173">
        <v>36.630000000000003</v>
      </c>
      <c s="173">
        <v>195.78</v>
      </c>
      <c s="173">
        <v>0.080000000000000002</v>
      </c>
      <c s="173">
        <v>0.059999999999999998</v>
      </c>
      <c s="173">
        <v>8.2699999999999996</v>
      </c>
      <c s="173">
        <v>0.080000000000000002</v>
      </c>
      <c s="173"/>
      <c s="173">
        <v>53.869999999999997</v>
      </c>
      <c s="173">
        <v>0</v>
      </c>
      <c s="173"/>
      <c s="173">
        <v>0</v>
      </c>
      <c s="173">
        <v>58.829999999999998</v>
      </c>
      <c s="173">
        <v>1.1899999999999999</v>
      </c>
    </row>
    <row r="160" spans="2:20" ht="15.75" customHeight="1">
      <c r="B160" s="173">
        <v>377</v>
      </c>
      <c s="352" t="s">
        <v>149</v>
      </c>
      <c s="352"/>
      <c s="173" t="s">
        <v>151</v>
      </c>
      <c s="173">
        <v>0.26000000000000001</v>
      </c>
      <c s="173">
        <v>0.059999999999999998</v>
      </c>
      <c s="173">
        <v>15.220000000000001</v>
      </c>
      <c s="173">
        <v>62.5</v>
      </c>
      <c s="173"/>
      <c s="173">
        <v>0.01</v>
      </c>
      <c s="173">
        <v>2.8999999999999999</v>
      </c>
      <c s="173">
        <v>0</v>
      </c>
      <c s="173">
        <v>0.059999999999999998</v>
      </c>
      <c s="173">
        <v>8.0500000000000007</v>
      </c>
      <c s="173">
        <v>9.7799999999999994</v>
      </c>
      <c s="173">
        <v>0.017000000000000001</v>
      </c>
      <c s="173">
        <v>0</v>
      </c>
      <c s="173">
        <v>5.2400000000000002</v>
      </c>
      <c s="173">
        <v>0.87</v>
      </c>
    </row>
    <row r="161" spans="2:20" ht="19.5" customHeight="1">
      <c r="B161" s="173" t="s">
        <v>224</v>
      </c>
      <c s="352" t="s">
        <v>235</v>
      </c>
      <c s="352"/>
      <c s="173">
        <v>40</v>
      </c>
      <c s="173">
        <v>2.6400000000000001</v>
      </c>
      <c s="173">
        <v>0.47999999999999998</v>
      </c>
      <c s="173">
        <v>13.68</v>
      </c>
      <c s="173">
        <v>66.200000000000003</v>
      </c>
      <c s="173">
        <v>0.080000000000000002</v>
      </c>
      <c s="173">
        <v>0.040000000000000001</v>
      </c>
      <c s="173">
        <v>0</v>
      </c>
      <c s="173">
        <v>0</v>
      </c>
      <c s="173">
        <v>2.3999999999999999</v>
      </c>
      <c s="173">
        <v>14</v>
      </c>
      <c s="173">
        <v>63.200000000000003</v>
      </c>
      <c s="173">
        <v>1.2</v>
      </c>
      <c s="173">
        <v>0.001</v>
      </c>
      <c s="173">
        <v>9.4000000000000004</v>
      </c>
      <c s="173">
        <v>0.78000000000000003</v>
      </c>
    </row>
    <row r="162" spans="2:20" ht="15">
      <c r="B162" s="173" t="s">
        <v>224</v>
      </c>
      <c s="352" t="s">
        <v>117</v>
      </c>
      <c s="352"/>
      <c s="173">
        <v>30</v>
      </c>
      <c s="173">
        <v>1.52</v>
      </c>
      <c s="173">
        <v>0.16</v>
      </c>
      <c s="173">
        <v>9.8399999999999999</v>
      </c>
      <c s="173">
        <v>44.399999999999999</v>
      </c>
      <c s="173">
        <v>0.02</v>
      </c>
      <c s="173">
        <v>0.01</v>
      </c>
      <c s="173">
        <v>0.44</v>
      </c>
      <c s="173">
        <v>0</v>
      </c>
      <c s="173">
        <v>0.69999999999999996</v>
      </c>
      <c s="173">
        <v>4</v>
      </c>
      <c s="173">
        <v>13</v>
      </c>
      <c s="173">
        <v>0.0080000000000000002</v>
      </c>
      <c s="173">
        <v>0.001</v>
      </c>
      <c s="173">
        <v>0</v>
      </c>
      <c s="173">
        <v>0.22</v>
      </c>
    </row>
    <row r="163" spans="2:20" ht="29.25" customHeight="1">
      <c r="B163" s="353" t="s">
        <v>236</v>
      </c>
      <c s="353"/>
      <c s="353"/>
      <c s="190">
        <f>E156+E157+E158+E159+E161+E162+204</f>
        <v>774</v>
      </c>
      <c s="190">
        <f>SUM(F156:F162)</f>
        <v>24.680000000000003</v>
      </c>
      <c s="190">
        <f t="shared" si="33" ref="G163:T163">SUM(G156:G162)</f>
        <v>14.560000000000002</v>
      </c>
      <c s="190">
        <f t="shared" si="33"/>
        <v>105.09999999999999</v>
      </c>
      <c s="190">
        <f t="shared" si="33"/>
        <v>647.42999999999995</v>
      </c>
      <c s="190">
        <f t="shared" si="33"/>
        <v>0.35100000000000003</v>
      </c>
      <c s="190">
        <f t="shared" si="33"/>
        <v>0.25</v>
      </c>
      <c s="190">
        <f t="shared" si="33"/>
        <v>23.129999999999999</v>
      </c>
      <c s="190">
        <f t="shared" si="33"/>
        <v>0.1709</v>
      </c>
      <c s="190">
        <f t="shared" si="33"/>
        <v>3.3266</v>
      </c>
      <c s="190">
        <f t="shared" si="33"/>
        <v>131.76999999999998</v>
      </c>
      <c s="190">
        <f t="shared" si="33"/>
        <v>196.22</v>
      </c>
      <c s="190">
        <f t="shared" si="33"/>
        <v>2.7050000000000001</v>
      </c>
      <c s="190">
        <f t="shared" si="33"/>
        <v>0.048000000000000001</v>
      </c>
      <c s="190">
        <f t="shared" si="33"/>
        <v>120.17</v>
      </c>
      <c s="190">
        <f t="shared" si="33"/>
        <v>6.3199999999999994</v>
      </c>
    </row>
    <row r="164" spans="2:20" ht="15">
      <c r="B164" s="353" t="s">
        <v>226</v>
      </c>
      <c s="353"/>
      <c s="353"/>
      <c s="353"/>
      <c s="191">
        <f>F163/F171</f>
        <v>0.32051948051948054</v>
      </c>
      <c s="191">
        <f t="shared" si="34" ref="G164:T164">G163/G171</f>
        <v>0.18430379746835446</v>
      </c>
      <c s="191">
        <f t="shared" si="34"/>
        <v>0.3137313432835821</v>
      </c>
      <c s="191">
        <f t="shared" si="34"/>
        <v>0.27550212765957444</v>
      </c>
      <c s="191">
        <f t="shared" si="34"/>
        <v>0.29250000000000004</v>
      </c>
      <c s="191">
        <f t="shared" si="34"/>
        <v>0.17857142857142858</v>
      </c>
      <c s="191">
        <f t="shared" si="34"/>
        <v>0.38550000000000001</v>
      </c>
      <c s="191">
        <f t="shared" si="34"/>
        <v>0.24414285714285716</v>
      </c>
      <c s="191">
        <f t="shared" si="34"/>
        <v>0.33266000000000001</v>
      </c>
      <c s="191">
        <f t="shared" si="34"/>
        <v>0.11979090909090907</v>
      </c>
      <c s="191">
        <f t="shared" si="34"/>
        <v>0.17838181818181817</v>
      </c>
      <c s="191">
        <f t="shared" si="34"/>
        <v>0.27050000000000002</v>
      </c>
      <c s="191">
        <f t="shared" si="34"/>
        <v>0.47999999999999998</v>
      </c>
      <c s="191">
        <f t="shared" si="34"/>
        <v>0.48068</v>
      </c>
      <c s="191">
        <f t="shared" si="34"/>
        <v>0.52666666666666662</v>
      </c>
    </row>
    <row r="165" spans="2:20" ht="15">
      <c r="B165" s="353" t="s">
        <v>237</v>
      </c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</row>
    <row r="166" spans="2:20" ht="15" customHeight="1">
      <c r="B166" s="177" t="s">
        <v>224</v>
      </c>
      <c s="345" t="s">
        <v>238</v>
      </c>
      <c s="345"/>
      <c s="177">
        <v>100</v>
      </c>
      <c s="177">
        <v>7.8600000000000003</v>
      </c>
      <c s="177">
        <v>5.5700000000000003</v>
      </c>
      <c s="177">
        <v>53.710000000000001</v>
      </c>
      <c s="177">
        <v>297.13999999999999</v>
      </c>
      <c s="177">
        <v>0.10000000000000001</v>
      </c>
      <c s="177">
        <v>0.040000000000000001</v>
      </c>
      <c s="177">
        <v>0</v>
      </c>
      <c s="177">
        <v>0.10000000000000001</v>
      </c>
      <c s="177"/>
      <c s="177">
        <v>16.170000000000002</v>
      </c>
      <c s="177">
        <v>0</v>
      </c>
      <c s="177">
        <v>0</v>
      </c>
      <c s="177">
        <v>0</v>
      </c>
      <c s="177">
        <v>11.19</v>
      </c>
      <c s="177">
        <v>0.90000000000000002</v>
      </c>
    </row>
    <row r="167" spans="2:20" ht="27.75" customHeight="1">
      <c r="B167" s="177">
        <v>648</v>
      </c>
      <c s="345" t="s">
        <v>294</v>
      </c>
      <c s="345"/>
      <c s="177">
        <v>200</v>
      </c>
      <c s="177">
        <v>0</v>
      </c>
      <c s="177">
        <v>0</v>
      </c>
      <c s="177">
        <v>20</v>
      </c>
      <c s="177">
        <v>76</v>
      </c>
      <c s="177">
        <v>0</v>
      </c>
      <c s="177">
        <v>0</v>
      </c>
      <c s="177">
        <v>0</v>
      </c>
      <c s="177">
        <v>0</v>
      </c>
      <c s="177"/>
      <c s="177">
        <v>0.47999999999999998</v>
      </c>
      <c s="177">
        <v>0</v>
      </c>
      <c s="177">
        <v>0</v>
      </c>
      <c s="177">
        <v>0</v>
      </c>
      <c s="177">
        <v>0</v>
      </c>
      <c s="177">
        <v>0.059999999999999998</v>
      </c>
    </row>
    <row r="168" spans="2:20" ht="15" customHeight="1">
      <c r="B168" s="349" t="s">
        <v>240</v>
      </c>
      <c s="350"/>
      <c s="351"/>
      <c s="178">
        <f>E166+E167</f>
        <v>300</v>
      </c>
      <c s="178">
        <f t="shared" si="35" ref="F168:T168">F166+F167</f>
        <v>7.8600000000000003</v>
      </c>
      <c s="178">
        <f t="shared" si="35"/>
        <v>5.5700000000000003</v>
      </c>
      <c s="178">
        <f t="shared" si="35"/>
        <v>73.710000000000008</v>
      </c>
      <c s="178">
        <f t="shared" si="35"/>
        <v>373.13999999999999</v>
      </c>
      <c s="178">
        <f t="shared" si="35"/>
        <v>0.10000000000000001</v>
      </c>
      <c s="178">
        <f t="shared" si="35"/>
        <v>0.040000000000000001</v>
      </c>
      <c s="178">
        <f t="shared" si="35"/>
        <v>0</v>
      </c>
      <c s="178">
        <f t="shared" si="35"/>
        <v>0.10000000000000001</v>
      </c>
      <c s="178">
        <f t="shared" si="35"/>
        <v>0</v>
      </c>
      <c s="178">
        <f t="shared" si="35"/>
        <v>16.650000000000002</v>
      </c>
      <c s="178">
        <f t="shared" si="35"/>
        <v>0</v>
      </c>
      <c s="178">
        <f t="shared" si="35"/>
        <v>0</v>
      </c>
      <c s="178">
        <f t="shared" si="35"/>
        <v>0</v>
      </c>
      <c s="178">
        <f t="shared" si="35"/>
        <v>11.19</v>
      </c>
      <c s="178">
        <f t="shared" si="35"/>
        <v>0.95999999999999996</v>
      </c>
    </row>
    <row r="169" spans="2:20" ht="15">
      <c r="B169" s="353" t="s">
        <v>226</v>
      </c>
      <c s="353"/>
      <c s="353"/>
      <c s="353"/>
      <c s="191">
        <f>F168/F171</f>
        <v>0.10207792207792209</v>
      </c>
      <c s="191">
        <f t="shared" si="36" ref="G169:T169">G168/G171</f>
        <v>0.070506329113924057</v>
      </c>
      <c s="191">
        <f t="shared" si="36"/>
        <v>0.22002985074626868</v>
      </c>
      <c s="191">
        <f t="shared" si="36"/>
        <v>0.15878297872340424</v>
      </c>
      <c s="191">
        <f t="shared" si="36"/>
        <v>0.083333333333333343</v>
      </c>
      <c s="191">
        <f t="shared" si="36"/>
        <v>0.028571428571428574</v>
      </c>
      <c s="191">
        <f t="shared" si="36"/>
        <v>0</v>
      </c>
      <c s="191">
        <f t="shared" si="36"/>
        <v>0.14285714285714288</v>
      </c>
      <c s="191">
        <f t="shared" si="36"/>
        <v>0</v>
      </c>
      <c s="191">
        <f t="shared" si="36"/>
        <v>0.015136363636363639</v>
      </c>
      <c s="191">
        <f t="shared" si="36"/>
        <v>0</v>
      </c>
      <c s="191">
        <f t="shared" si="36"/>
        <v>0</v>
      </c>
      <c s="191">
        <f t="shared" si="36"/>
        <v>0</v>
      </c>
      <c s="191">
        <f t="shared" si="36"/>
        <v>0.044760000000000001</v>
      </c>
      <c s="191">
        <f t="shared" si="36"/>
        <v>0.080000000000000002</v>
      </c>
    </row>
    <row r="170" spans="2:20" ht="15">
      <c r="B170" s="353" t="s">
        <v>241</v>
      </c>
      <c s="353"/>
      <c s="353"/>
      <c s="353"/>
      <c s="190">
        <f>F168+F163+F153</f>
        <v>54.719999999999999</v>
      </c>
      <c s="190">
        <f t="shared" si="37" ref="G170:T170">G168+G163+G153</f>
        <v>54.25</v>
      </c>
      <c s="190">
        <f t="shared" si="37"/>
        <v>222</v>
      </c>
      <c s="190">
        <f t="shared" si="37"/>
        <v>1586.4000000000001</v>
      </c>
      <c s="190">
        <f t="shared" si="37"/>
        <v>0.77000000000000013</v>
      </c>
      <c s="190">
        <f t="shared" si="37"/>
        <v>1.0230000000000001</v>
      </c>
      <c s="190">
        <f t="shared" si="37"/>
        <v>45.57</v>
      </c>
      <c s="190">
        <f t="shared" si="37"/>
        <v>0.41400000000000003</v>
      </c>
      <c s="190">
        <f t="shared" si="37"/>
        <v>4.5316000000000001</v>
      </c>
      <c s="190">
        <f t="shared" si="37"/>
        <v>328.00999999999999</v>
      </c>
      <c s="190">
        <f t="shared" si="37"/>
        <v>592.30000000000007</v>
      </c>
      <c s="190">
        <f t="shared" si="37"/>
        <v>2.79</v>
      </c>
      <c s="190">
        <f t="shared" si="37"/>
        <v>0.062</v>
      </c>
      <c s="190">
        <f t="shared" si="37"/>
        <v>189.28000000000003</v>
      </c>
      <c s="190">
        <f t="shared" si="37"/>
        <v>15.65</v>
      </c>
    </row>
    <row r="171" spans="2:20" ht="15">
      <c r="B171" s="353" t="s">
        <v>242</v>
      </c>
      <c s="353"/>
      <c s="353"/>
      <c s="353"/>
      <c s="173">
        <v>77</v>
      </c>
      <c s="173">
        <v>79</v>
      </c>
      <c s="173">
        <v>335</v>
      </c>
      <c s="173">
        <v>2350</v>
      </c>
      <c s="173">
        <v>1.2</v>
      </c>
      <c s="173">
        <v>1.3999999999999999</v>
      </c>
      <c s="173">
        <v>60</v>
      </c>
      <c s="173">
        <v>0.69999999999999996</v>
      </c>
      <c s="173">
        <v>10</v>
      </c>
      <c s="173">
        <v>1100</v>
      </c>
      <c s="173">
        <v>1100</v>
      </c>
      <c s="173">
        <v>10</v>
      </c>
      <c s="173">
        <v>0.10000000000000001</v>
      </c>
      <c s="173">
        <v>250</v>
      </c>
      <c s="173">
        <v>12</v>
      </c>
    </row>
    <row r="172" spans="2:20" ht="15">
      <c r="B172" s="353" t="s">
        <v>226</v>
      </c>
      <c s="353"/>
      <c s="353"/>
      <c s="353"/>
      <c s="191">
        <f>F170/F171</f>
        <v>0.71064935064935064</v>
      </c>
      <c s="191">
        <f t="shared" si="38" ref="G172:T172">G170/G171</f>
        <v>0.68670886075949367</v>
      </c>
      <c s="191">
        <f t="shared" si="38"/>
        <v>0.66268656716417906</v>
      </c>
      <c s="191">
        <f t="shared" si="38"/>
        <v>0.67506382978723412</v>
      </c>
      <c s="191">
        <f t="shared" si="38"/>
        <v>0.64166666666666683</v>
      </c>
      <c s="191">
        <f t="shared" si="38"/>
        <v>0.73071428571428587</v>
      </c>
      <c s="191">
        <f t="shared" si="38"/>
        <v>0.75949999999999995</v>
      </c>
      <c s="191">
        <f t="shared" si="38"/>
        <v>0.59142857142857153</v>
      </c>
      <c s="191">
        <f t="shared" si="38"/>
        <v>0.45316000000000001</v>
      </c>
      <c s="191">
        <f t="shared" si="38"/>
        <v>0.29819090909090906</v>
      </c>
      <c s="191">
        <f t="shared" si="38"/>
        <v>0.53845454545454552</v>
      </c>
      <c s="191">
        <f t="shared" si="38"/>
        <v>0.27900000000000003</v>
      </c>
      <c s="191">
        <f t="shared" si="38"/>
        <v>0.62</v>
      </c>
      <c s="191">
        <f t="shared" si="38"/>
        <v>0.75712000000000013</v>
      </c>
      <c s="191">
        <f t="shared" si="38"/>
        <v>1.3041666666666667</v>
      </c>
    </row>
    <row r="173" spans="2:20" ht="15">
      <c r="B173" s="343" t="s">
        <v>295</v>
      </c>
      <c s="343"/>
      <c s="343"/>
      <c s="343"/>
      <c s="190">
        <f>(F14+F51+F86+F119+F153)/5</f>
        <v>22.937000000000001</v>
      </c>
      <c s="190">
        <f t="shared" si="39" ref="G173:T173">(G14+G51+G86+G119+G153)/5</f>
        <v>21.8902</v>
      </c>
      <c s="190">
        <f t="shared" si="39"/>
        <v>73.575800000000001</v>
      </c>
      <c s="190">
        <f t="shared" si="39"/>
        <v>579.80799999999999</v>
      </c>
      <c s="190">
        <f t="shared" si="39"/>
        <v>0.26820000000000005</v>
      </c>
      <c s="190">
        <f t="shared" si="39"/>
        <v>0.38300000000000006</v>
      </c>
      <c s="190">
        <f t="shared" si="39"/>
        <v>13.566599999999999</v>
      </c>
      <c s="190">
        <f t="shared" si="39"/>
        <v>0.38463999999999998</v>
      </c>
      <c s="190">
        <f t="shared" si="39"/>
        <v>2.0204</v>
      </c>
      <c s="190">
        <f t="shared" si="39"/>
        <v>230.69560000000001</v>
      </c>
      <c s="190">
        <f t="shared" si="39"/>
        <v>352.5222</v>
      </c>
      <c s="190">
        <f t="shared" si="39"/>
        <v>1.3231999999999999</v>
      </c>
      <c s="190">
        <f t="shared" si="39"/>
        <v>0.0252</v>
      </c>
      <c s="190">
        <f t="shared" si="39"/>
        <v>69.479399999999998</v>
      </c>
      <c s="190">
        <f t="shared" si="39"/>
        <v>5.1240000000000006</v>
      </c>
    </row>
    <row r="174" spans="2:20" ht="15">
      <c r="B174" s="343" t="s">
        <v>242</v>
      </c>
      <c s="343"/>
      <c s="343"/>
      <c s="343"/>
      <c s="173">
        <v>77</v>
      </c>
      <c s="173">
        <v>79</v>
      </c>
      <c s="173">
        <v>335</v>
      </c>
      <c s="173">
        <v>2350</v>
      </c>
      <c s="173">
        <v>1.2</v>
      </c>
      <c s="173">
        <v>1.3999999999999999</v>
      </c>
      <c s="173">
        <v>60</v>
      </c>
      <c s="173">
        <v>0.69999999999999996</v>
      </c>
      <c s="173">
        <v>10</v>
      </c>
      <c s="173">
        <v>1100</v>
      </c>
      <c s="173">
        <v>1100</v>
      </c>
      <c s="173">
        <v>10</v>
      </c>
      <c s="173">
        <v>0.10000000000000001</v>
      </c>
      <c s="173">
        <v>250</v>
      </c>
      <c s="173">
        <v>12</v>
      </c>
    </row>
    <row r="175" spans="2:20" ht="15">
      <c r="B175" s="343" t="s">
        <v>226</v>
      </c>
      <c s="343"/>
      <c s="343"/>
      <c s="343"/>
      <c s="191">
        <f>F173/F174</f>
        <v>0.29788311688311692</v>
      </c>
      <c s="191">
        <f t="shared" si="40" ref="G175:T175">G173/G174</f>
        <v>0.27709113924050632</v>
      </c>
      <c s="191">
        <f t="shared" si="40"/>
        <v>0.21962925373134329</v>
      </c>
      <c s="191">
        <f t="shared" si="40"/>
        <v>0.2467268085106383</v>
      </c>
      <c s="191">
        <f t="shared" si="40"/>
        <v>0.22350000000000006</v>
      </c>
      <c s="191">
        <f t="shared" si="40"/>
        <v>0.27357142857142863</v>
      </c>
      <c s="191">
        <f t="shared" si="40"/>
        <v>0.22610999999999998</v>
      </c>
      <c s="191">
        <f t="shared" si="40"/>
        <v>0.54948571428571424</v>
      </c>
      <c s="191">
        <f t="shared" si="40"/>
        <v>0.20204</v>
      </c>
      <c s="191">
        <f t="shared" si="40"/>
        <v>0.20972327272727273</v>
      </c>
      <c s="191">
        <f t="shared" si="40"/>
        <v>0.32047472727272724</v>
      </c>
      <c s="191">
        <f t="shared" si="40"/>
        <v>0.13231999999999999</v>
      </c>
      <c s="191">
        <f t="shared" si="40"/>
        <v>0.252</v>
      </c>
      <c s="191">
        <f t="shared" si="40"/>
        <v>0.27791759999999999</v>
      </c>
      <c s="191">
        <f t="shared" si="40"/>
        <v>0.42700000000000005</v>
      </c>
    </row>
    <row r="176" spans="2:20" ht="15">
      <c r="B176" s="343" t="s">
        <v>296</v>
      </c>
      <c s="343"/>
      <c s="343"/>
      <c s="343"/>
      <c s="190">
        <f>(F26+F61+F96+F129+F163)/5</f>
        <v>25.371000000000002</v>
      </c>
      <c s="190">
        <f t="shared" si="41" ref="G176:T176">(G26+G61+G96+G129+G163)/5</f>
        <v>25.602199999999993</v>
      </c>
      <c s="190">
        <f t="shared" si="41"/>
        <v>99.6738</v>
      </c>
      <c s="190">
        <f t="shared" si="41"/>
        <v>731.78800000000001</v>
      </c>
      <c s="190">
        <f t="shared" si="41"/>
        <v>0.56279999999999997</v>
      </c>
      <c s="190">
        <f t="shared" si="41"/>
        <v>0.44679999999999997</v>
      </c>
      <c s="190">
        <f t="shared" si="41"/>
        <v>33.012599999999999</v>
      </c>
      <c s="190">
        <f t="shared" si="41"/>
        <v>0.54458000000000006</v>
      </c>
      <c s="190">
        <f t="shared" si="41"/>
        <v>5.1898199999999992</v>
      </c>
      <c s="190">
        <f t="shared" si="41"/>
        <v>146.1996</v>
      </c>
      <c s="190">
        <f t="shared" si="41"/>
        <v>333.90819999999997</v>
      </c>
      <c s="190">
        <f t="shared" si="41"/>
        <v>2.5029999999999997</v>
      </c>
      <c s="190">
        <f t="shared" si="41"/>
        <v>0.025984</v>
      </c>
      <c s="190">
        <f t="shared" si="41"/>
        <v>101.84740000000001</v>
      </c>
      <c s="190">
        <f t="shared" si="41"/>
        <v>6.1899999999999995</v>
      </c>
    </row>
    <row r="177" spans="2:20" ht="15">
      <c r="B177" s="343" t="s">
        <v>242</v>
      </c>
      <c s="343"/>
      <c s="343"/>
      <c s="343"/>
      <c s="173">
        <v>77</v>
      </c>
      <c s="173">
        <v>79</v>
      </c>
      <c s="173">
        <v>335</v>
      </c>
      <c s="173">
        <v>2350</v>
      </c>
      <c s="173">
        <v>1.2</v>
      </c>
      <c s="173">
        <v>1.3999999999999999</v>
      </c>
      <c s="173">
        <v>60</v>
      </c>
      <c s="173">
        <v>0.69999999999999996</v>
      </c>
      <c s="173">
        <v>10</v>
      </c>
      <c s="173">
        <v>1100</v>
      </c>
      <c s="173">
        <v>1100</v>
      </c>
      <c s="173">
        <v>10</v>
      </c>
      <c s="173">
        <v>0.10000000000000001</v>
      </c>
      <c s="173">
        <v>250</v>
      </c>
      <c s="173">
        <v>12</v>
      </c>
    </row>
    <row r="178" spans="2:20" ht="15">
      <c r="B178" s="343" t="s">
        <v>226</v>
      </c>
      <c s="343"/>
      <c s="343"/>
      <c s="343"/>
      <c s="191">
        <f>F176/F177</f>
        <v>0.3294935064935065</v>
      </c>
      <c s="191">
        <f t="shared" si="42" ref="G178:T178">G176/G177</f>
        <v>0.32407848101265813</v>
      </c>
      <c s="191">
        <f t="shared" si="42"/>
        <v>0.29753373134328359</v>
      </c>
      <c s="191">
        <f t="shared" si="42"/>
        <v>0.31139914893617021</v>
      </c>
      <c s="191">
        <f t="shared" si="42"/>
        <v>0.46899999999999997</v>
      </c>
      <c s="191">
        <f t="shared" si="42"/>
        <v>0.31914285714285717</v>
      </c>
      <c s="191">
        <f t="shared" si="42"/>
        <v>0.55020999999999998</v>
      </c>
      <c s="191">
        <f t="shared" si="42"/>
        <v>0.77797142857142876</v>
      </c>
      <c s="191">
        <f t="shared" si="42"/>
        <v>0.51898199999999994</v>
      </c>
      <c s="191">
        <f t="shared" si="42"/>
        <v>0.13290872727272729</v>
      </c>
      <c s="191">
        <f t="shared" si="42"/>
        <v>0.30355290909090904</v>
      </c>
      <c s="191">
        <f t="shared" si="42"/>
        <v>0.25029999999999997</v>
      </c>
      <c s="191">
        <f t="shared" si="42"/>
        <v>0.25983999999999996</v>
      </c>
      <c s="191">
        <f t="shared" si="42"/>
        <v>0.40738960000000002</v>
      </c>
      <c s="191">
        <f t="shared" si="42"/>
        <v>0.51583333333333325</v>
      </c>
    </row>
    <row r="179" spans="2:20" ht="15">
      <c r="B179" s="343" t="s">
        <v>297</v>
      </c>
      <c s="343"/>
      <c s="343"/>
      <c s="343"/>
      <c s="199">
        <f>(F31+F66+F101+F134+F168)/5</f>
        <v>9.2379999999999995</v>
      </c>
      <c s="199">
        <f t="shared" si="43" ref="G179:T179">(G31+G66+G101+G134+G168)/5</f>
        <v>7.330000000000001</v>
      </c>
      <c s="199">
        <f t="shared" si="43"/>
        <v>63.372</v>
      </c>
      <c s="199">
        <f t="shared" si="43"/>
        <v>356.19799999999998</v>
      </c>
      <c s="199">
        <f t="shared" si="43"/>
        <v>0.10000000000000001</v>
      </c>
      <c s="199">
        <f t="shared" si="43"/>
        <v>0.14400000000000002</v>
      </c>
      <c s="199">
        <f t="shared" si="43"/>
        <v>1.5800000000000001</v>
      </c>
      <c s="199">
        <f t="shared" si="43"/>
        <v>0.10000000000000001</v>
      </c>
      <c s="199">
        <f t="shared" si="43"/>
        <v>0.012199999999999999</v>
      </c>
      <c s="199">
        <f t="shared" si="43"/>
        <v>88.224000000000004</v>
      </c>
      <c s="199">
        <f t="shared" si="43"/>
        <v>83.073999999999998</v>
      </c>
      <c s="199">
        <f t="shared" si="43"/>
        <v>0.084000000000000005</v>
      </c>
      <c s="199">
        <f t="shared" si="43"/>
        <v>0.00020000000000000001</v>
      </c>
      <c s="199">
        <f t="shared" si="43"/>
        <v>21.898</v>
      </c>
      <c s="199">
        <f t="shared" si="43"/>
        <v>1.4259999999999999</v>
      </c>
    </row>
    <row r="180" spans="2:20" ht="15">
      <c r="B180" s="343" t="s">
        <v>242</v>
      </c>
      <c s="343"/>
      <c s="343"/>
      <c s="343"/>
      <c s="173">
        <v>77</v>
      </c>
      <c s="173">
        <v>79</v>
      </c>
      <c s="173">
        <v>335</v>
      </c>
      <c s="173">
        <v>2350</v>
      </c>
      <c s="173">
        <v>1.2</v>
      </c>
      <c s="173">
        <v>1.3999999999999999</v>
      </c>
      <c s="173">
        <v>60</v>
      </c>
      <c s="173">
        <v>0.69999999999999996</v>
      </c>
      <c s="173">
        <v>10</v>
      </c>
      <c s="173">
        <v>1100</v>
      </c>
      <c s="173">
        <v>1100</v>
      </c>
      <c s="173">
        <v>10</v>
      </c>
      <c s="173">
        <v>0.10000000000000001</v>
      </c>
      <c s="173">
        <v>250</v>
      </c>
      <c s="173">
        <v>12</v>
      </c>
    </row>
    <row r="181" spans="2:20" ht="15">
      <c r="B181" s="343" t="s">
        <v>226</v>
      </c>
      <c s="343"/>
      <c s="343"/>
      <c s="343"/>
      <c s="191">
        <f>F179/F180</f>
        <v>0.11997402597402597</v>
      </c>
      <c s="191">
        <f t="shared" si="44" ref="G181:T181">G179/G180</f>
        <v>0.092784810126582296</v>
      </c>
      <c s="191">
        <f t="shared" si="44"/>
        <v>0.18917014925373135</v>
      </c>
      <c s="191">
        <f t="shared" si="44"/>
        <v>0.15157361702127659</v>
      </c>
      <c s="191">
        <f t="shared" si="44"/>
        <v>0.083333333333333343</v>
      </c>
      <c s="191">
        <f t="shared" si="44"/>
        <v>0.10285714285714287</v>
      </c>
      <c s="191">
        <f t="shared" si="44"/>
        <v>0.026333333333333334</v>
      </c>
      <c s="191">
        <f t="shared" si="44"/>
        <v>0.14285714285714288</v>
      </c>
      <c s="191">
        <f t="shared" si="44"/>
        <v>0.0012199999999999999</v>
      </c>
      <c s="191">
        <f t="shared" si="44"/>
        <v>0.080203636363636366</v>
      </c>
      <c s="191">
        <f t="shared" si="44"/>
        <v>0.075521818181818176</v>
      </c>
      <c s="191">
        <f t="shared" si="44"/>
        <v>0.0084000000000000012</v>
      </c>
      <c s="191">
        <f t="shared" si="44"/>
        <v>0.002</v>
      </c>
      <c s="191">
        <f t="shared" si="44"/>
        <v>0.087592000000000003</v>
      </c>
      <c s="191">
        <f t="shared" si="44"/>
        <v>0.11883333333333333</v>
      </c>
    </row>
    <row r="182" spans="2:20" ht="15">
      <c r="B182" s="343" t="s">
        <v>298</v>
      </c>
      <c s="343"/>
      <c s="343"/>
      <c s="343"/>
      <c s="199">
        <f>F173+F176+F179</f>
        <v>57.546000000000006</v>
      </c>
      <c s="199">
        <f t="shared" si="45" ref="G182:T182">G173+G176+G179</f>
        <v>54.822399999999988</v>
      </c>
      <c s="199">
        <f t="shared" si="45"/>
        <v>236.6216</v>
      </c>
      <c s="199">
        <f t="shared" si="45"/>
        <v>1667.7939999999999</v>
      </c>
      <c s="199">
        <f t="shared" si="45"/>
        <v>0.93099999999999994</v>
      </c>
      <c s="199">
        <f t="shared" si="45"/>
        <v>0.97380000000000011</v>
      </c>
      <c s="199">
        <f t="shared" si="45"/>
        <v>48.159199999999998</v>
      </c>
      <c s="199">
        <f t="shared" si="45"/>
        <v>1.02922</v>
      </c>
      <c s="199">
        <f t="shared" si="45"/>
        <v>7.2224199999999996</v>
      </c>
      <c s="199">
        <f t="shared" si="45"/>
        <v>465.11920000000003</v>
      </c>
      <c s="199">
        <f t="shared" si="45"/>
        <v>769.50439999999992</v>
      </c>
      <c s="199">
        <f t="shared" si="45"/>
        <v>3.9101999999999997</v>
      </c>
      <c s="199">
        <f t="shared" si="45"/>
        <v>0.051383999999999999</v>
      </c>
      <c s="199">
        <f t="shared" si="45"/>
        <v>193.22479999999999</v>
      </c>
      <c s="199">
        <f t="shared" si="45"/>
        <v>12.74</v>
      </c>
    </row>
    <row r="183" spans="2:20" ht="15">
      <c r="B183" s="343" t="s">
        <v>242</v>
      </c>
      <c s="343"/>
      <c s="343"/>
      <c s="343"/>
      <c s="173">
        <v>77</v>
      </c>
      <c s="173">
        <v>79</v>
      </c>
      <c s="173">
        <v>335</v>
      </c>
      <c s="173">
        <v>2350</v>
      </c>
      <c s="173">
        <v>1.2</v>
      </c>
      <c s="173">
        <v>1.3999999999999999</v>
      </c>
      <c s="173">
        <v>60</v>
      </c>
      <c s="173">
        <v>0.69999999999999996</v>
      </c>
      <c s="173">
        <v>10</v>
      </c>
      <c s="173">
        <v>1100</v>
      </c>
      <c s="173">
        <v>1100</v>
      </c>
      <c s="173">
        <v>10</v>
      </c>
      <c s="173">
        <v>0.10000000000000001</v>
      </c>
      <c s="173">
        <v>250</v>
      </c>
      <c s="173">
        <v>12</v>
      </c>
    </row>
    <row r="184" spans="2:20" ht="15">
      <c r="B184" s="343" t="s">
        <v>226</v>
      </c>
      <c s="343"/>
      <c s="343"/>
      <c s="343"/>
      <c s="191">
        <f>F182/F183</f>
        <v>0.74735064935064943</v>
      </c>
      <c s="191">
        <f t="shared" si="46" ref="G184:T184">G182/G183</f>
        <v>0.69395443037974669</v>
      </c>
      <c s="191">
        <f t="shared" si="46"/>
        <v>0.7063331343283582</v>
      </c>
      <c s="191">
        <f t="shared" si="46"/>
        <v>0.70969957446808507</v>
      </c>
      <c s="191">
        <f t="shared" si="46"/>
        <v>0.77583333333333326</v>
      </c>
      <c s="191">
        <f t="shared" si="46"/>
        <v>0.69557142857142873</v>
      </c>
      <c s="191">
        <f t="shared" si="46"/>
        <v>0.80265333333333333</v>
      </c>
      <c s="191">
        <f t="shared" si="46"/>
        <v>1.4703142857142859</v>
      </c>
      <c s="191">
        <f t="shared" si="46"/>
        <v>0.72224199999999994</v>
      </c>
      <c s="191">
        <f t="shared" si="46"/>
        <v>0.42283563636363641</v>
      </c>
      <c s="191">
        <f t="shared" si="46"/>
        <v>0.69954945454545447</v>
      </c>
      <c s="191">
        <f t="shared" si="46"/>
        <v>0.39101999999999998</v>
      </c>
      <c s="191">
        <f t="shared" si="46"/>
        <v>0.51383999999999996</v>
      </c>
      <c s="191">
        <f t="shared" si="46"/>
        <v>0.7728991999999999</v>
      </c>
      <c s="191">
        <f t="shared" si="46"/>
        <v>1.0616666666666668</v>
      </c>
    </row>
    <row r="185" spans="2:20" ht="15">
      <c r="B185" s="172"/>
      <c s="173"/>
      <c s="173"/>
      <c s="173"/>
      <c s="173"/>
      <c s="173"/>
      <c s="173"/>
      <c s="173"/>
      <c s="173"/>
      <c s="173"/>
      <c s="173"/>
      <c s="356" t="s">
        <v>187</v>
      </c>
      <c s="356"/>
      <c s="356"/>
      <c s="356"/>
      <c s="356"/>
      <c s="356"/>
      <c s="356"/>
      <c s="356"/>
    </row>
    <row r="186" spans="2:20" ht="15">
      <c r="B186" s="353" t="s">
        <v>299</v>
      </c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</row>
    <row r="187" spans="2:20" ht="15">
      <c r="B187" s="353" t="s">
        <v>189</v>
      </c>
      <c s="353"/>
      <c s="173"/>
      <c s="173"/>
      <c s="173"/>
      <c s="356" t="s">
        <v>190</v>
      </c>
      <c s="356"/>
      <c s="356"/>
      <c s="173"/>
      <c s="173"/>
      <c s="353" t="s">
        <v>191</v>
      </c>
      <c s="353"/>
      <c s="356" t="s">
        <v>192</v>
      </c>
      <c s="356"/>
      <c s="356"/>
      <c s="356"/>
      <c s="173"/>
      <c s="173"/>
      <c s="173"/>
    </row>
    <row r="188" spans="2:20" ht="15">
      <c r="B188" s="173"/>
      <c s="173"/>
      <c s="173"/>
      <c s="353" t="s">
        <v>194</v>
      </c>
      <c s="353"/>
      <c s="173">
        <v>2</v>
      </c>
      <c s="173"/>
      <c s="173"/>
      <c s="173"/>
      <c s="173"/>
      <c s="353" t="s">
        <v>195</v>
      </c>
      <c s="353"/>
      <c s="356" t="s">
        <v>196</v>
      </c>
      <c s="356"/>
      <c s="356"/>
      <c s="356"/>
      <c s="356"/>
      <c s="356"/>
      <c s="356"/>
    </row>
    <row r="189" spans="2:20" ht="15">
      <c r="B189" s="174" t="s">
        <v>0</v>
      </c>
      <c s="354" t="s">
        <v>198</v>
      </c>
      <c s="354"/>
      <c s="354" t="s">
        <v>199</v>
      </c>
      <c s="354" t="s">
        <v>200</v>
      </c>
      <c s="354"/>
      <c s="354"/>
      <c s="174" t="s">
        <v>201</v>
      </c>
      <c s="354" t="s">
        <v>202</v>
      </c>
      <c s="354"/>
      <c s="354"/>
      <c s="354"/>
      <c s="354"/>
      <c s="354" t="s">
        <v>203</v>
      </c>
      <c s="354"/>
      <c s="354"/>
      <c s="354"/>
      <c s="354"/>
      <c s="354"/>
    </row>
    <row r="190" spans="2:20" ht="51">
      <c r="B190" s="174" t="s">
        <v>245</v>
      </c>
      <c s="354"/>
      <c s="354"/>
      <c s="354"/>
      <c s="174" t="s">
        <v>204</v>
      </c>
      <c s="174" t="s">
        <v>205</v>
      </c>
      <c s="174" t="s">
        <v>206</v>
      </c>
      <c s="174" t="s">
        <v>207</v>
      </c>
      <c s="174" t="s">
        <v>208</v>
      </c>
      <c s="174" t="s">
        <v>209</v>
      </c>
      <c s="174" t="s">
        <v>210</v>
      </c>
      <c s="174" t="s">
        <v>211</v>
      </c>
      <c s="174" t="s">
        <v>212</v>
      </c>
      <c s="174" t="s">
        <v>213</v>
      </c>
      <c s="174" t="s">
        <v>214</v>
      </c>
      <c s="174" t="s">
        <v>215</v>
      </c>
      <c s="174" t="s">
        <v>216</v>
      </c>
      <c s="174" t="s">
        <v>217</v>
      </c>
      <c s="174" t="s">
        <v>218</v>
      </c>
    </row>
    <row r="191" spans="2:20" ht="15">
      <c r="B191" s="175">
        <v>1</v>
      </c>
      <c s="355">
        <v>2</v>
      </c>
      <c s="355"/>
      <c s="175">
        <v>3</v>
      </c>
      <c s="175">
        <v>4</v>
      </c>
      <c s="175">
        <v>5</v>
      </c>
      <c s="175">
        <v>6</v>
      </c>
      <c s="175">
        <v>7</v>
      </c>
      <c s="175">
        <v>8</v>
      </c>
      <c s="175">
        <v>9</v>
      </c>
      <c s="175">
        <v>10</v>
      </c>
      <c s="175">
        <v>11</v>
      </c>
      <c s="175">
        <v>12</v>
      </c>
      <c s="175">
        <v>13</v>
      </c>
      <c s="175">
        <v>14</v>
      </c>
      <c s="175">
        <v>15</v>
      </c>
      <c s="175">
        <v>16</v>
      </c>
      <c s="175">
        <v>17</v>
      </c>
      <c s="175">
        <v>18</v>
      </c>
    </row>
    <row r="192" spans="2:20" ht="15">
      <c r="B192" s="353" t="s">
        <v>219</v>
      </c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</row>
    <row r="193" spans="2:20" ht="18.75" customHeight="1">
      <c r="B193" s="253">
        <v>338</v>
      </c>
      <c s="363" t="s">
        <v>300</v>
      </c>
      <c s="363"/>
      <c s="253">
        <v>100</v>
      </c>
      <c s="253">
        <v>0.90000000000000002</v>
      </c>
      <c s="253">
        <v>0.20000000000000001</v>
      </c>
      <c s="253">
        <v>8.0999999999999996</v>
      </c>
      <c s="253">
        <v>37.799999999999997</v>
      </c>
      <c s="253">
        <v>0.040000000000000001</v>
      </c>
      <c s="253">
        <v>0.029999999999999999</v>
      </c>
      <c s="253">
        <v>60</v>
      </c>
      <c s="253">
        <v>0.01</v>
      </c>
      <c s="253">
        <v>0.20000000000000001</v>
      </c>
      <c s="253">
        <v>34</v>
      </c>
      <c s="253">
        <v>23</v>
      </c>
      <c s="253">
        <v>0.20000000000000001</v>
      </c>
      <c s="253">
        <v>0</v>
      </c>
      <c s="253">
        <v>15</v>
      </c>
      <c s="253">
        <v>0.29999999999999999</v>
      </c>
    </row>
    <row r="194" spans="2:20" s="176" customFormat="1" ht="24.75" customHeight="1">
      <c r="B194" s="177">
        <v>15</v>
      </c>
      <c s="345" t="s">
        <v>221</v>
      </c>
      <c s="345"/>
      <c s="177">
        <v>20</v>
      </c>
      <c s="177">
        <v>4.6399999999999997</v>
      </c>
      <c s="177">
        <v>6.7999999999999998</v>
      </c>
      <c s="177">
        <v>0.02</v>
      </c>
      <c s="177">
        <v>79.799999999999997</v>
      </c>
      <c s="177">
        <v>0.01</v>
      </c>
      <c s="177">
        <v>0.059999999999999998</v>
      </c>
      <c s="177">
        <v>0.14000000000000001</v>
      </c>
      <c s="177">
        <v>0.045999999999999999</v>
      </c>
      <c s="177">
        <v>0.10000000000000001</v>
      </c>
      <c s="177">
        <v>176</v>
      </c>
      <c s="177">
        <v>100</v>
      </c>
      <c s="177">
        <v>0.80000000000000004</v>
      </c>
      <c s="177">
        <v>0.040000000000000001</v>
      </c>
      <c s="177">
        <v>7</v>
      </c>
      <c s="177">
        <v>0.26000000000000001</v>
      </c>
    </row>
    <row r="195" spans="2:20" ht="27" customHeight="1">
      <c r="B195" s="173">
        <v>173</v>
      </c>
      <c s="352" t="s">
        <v>301</v>
      </c>
      <c s="352"/>
      <c s="173">
        <v>200</v>
      </c>
      <c s="173">
        <v>7.2999999999999998</v>
      </c>
      <c s="173">
        <v>12.5</v>
      </c>
      <c s="173">
        <v>54.299999999999997</v>
      </c>
      <c s="173">
        <v>345.30000000000001</v>
      </c>
      <c s="173">
        <v>0.10000000000000001</v>
      </c>
      <c s="173">
        <v>0.20000000000000001</v>
      </c>
      <c s="173">
        <v>3.3999999999999999</v>
      </c>
      <c s="173">
        <v>0.036999999999999998</v>
      </c>
      <c s="173">
        <v>1.3</v>
      </c>
      <c s="173">
        <v>147.59999999999999</v>
      </c>
      <c s="173">
        <v>198.59999999999999</v>
      </c>
      <c s="173">
        <v>0</v>
      </c>
      <c s="173">
        <v>0</v>
      </c>
      <c s="173">
        <v>57.799999999999997</v>
      </c>
      <c s="173">
        <v>1.3</v>
      </c>
    </row>
    <row r="196" spans="2:20" ht="18.75" customHeight="1">
      <c r="B196" s="173">
        <v>379</v>
      </c>
      <c s="352" t="s">
        <v>250</v>
      </c>
      <c s="352"/>
      <c s="173">
        <v>200</v>
      </c>
      <c s="173">
        <v>2.7999999999999998</v>
      </c>
      <c s="173">
        <v>3.2000000000000002</v>
      </c>
      <c s="173">
        <v>24.66</v>
      </c>
      <c s="173">
        <v>132.47999999999999</v>
      </c>
      <c s="173">
        <v>0.040000000000000001</v>
      </c>
      <c s="173">
        <v>0.14999999999999999</v>
      </c>
      <c s="173">
        <v>1.3</v>
      </c>
      <c s="173">
        <v>0.029999999999999999</v>
      </c>
      <c s="173">
        <v>0.059999999999999998</v>
      </c>
      <c s="173">
        <v>120.40000000000001</v>
      </c>
      <c s="173">
        <v>90</v>
      </c>
      <c s="173">
        <v>1.1000000000000001</v>
      </c>
      <c s="173">
        <v>0.01</v>
      </c>
      <c s="173">
        <v>14</v>
      </c>
      <c s="173">
        <v>0.12</v>
      </c>
    </row>
    <row r="197" spans="2:20" ht="19.5" customHeight="1">
      <c r="B197" s="173" t="s">
        <v>224</v>
      </c>
      <c s="352" t="s">
        <v>302</v>
      </c>
      <c s="352"/>
      <c s="173">
        <v>40</v>
      </c>
      <c s="173">
        <v>2.6699999999999999</v>
      </c>
      <c s="173">
        <v>0.53000000000000003</v>
      </c>
      <c s="173">
        <v>13.73</v>
      </c>
      <c s="173">
        <v>70.400000000000006</v>
      </c>
      <c s="173">
        <v>0.13</v>
      </c>
      <c s="173">
        <v>0.012999999999999999</v>
      </c>
      <c s="173">
        <v>0.10000000000000001</v>
      </c>
      <c s="173">
        <v>0</v>
      </c>
      <c s="173">
        <v>0.93000000000000005</v>
      </c>
      <c s="173">
        <v>14</v>
      </c>
      <c s="173">
        <v>63.200000000000003</v>
      </c>
      <c s="173">
        <v>0.012999999999999999</v>
      </c>
      <c s="173">
        <v>0.012999999999999999</v>
      </c>
      <c s="173">
        <v>18.800000000000001</v>
      </c>
      <c s="173">
        <v>1.6000000000000001</v>
      </c>
    </row>
    <row r="198" spans="2:20" ht="15">
      <c r="B198" s="353" t="s">
        <v>225</v>
      </c>
      <c s="353"/>
      <c s="353"/>
      <c s="190">
        <f>SUM(E193:E197)</f>
        <v>560</v>
      </c>
      <c s="190">
        <f t="shared" si="47" ref="F198:T198">SUM(F193:F197)</f>
        <v>18.310000000000002</v>
      </c>
      <c s="190">
        <f t="shared" si="47"/>
        <v>23.23</v>
      </c>
      <c s="190">
        <f t="shared" si="47"/>
        <v>100.81</v>
      </c>
      <c s="190">
        <f t="shared" si="47"/>
        <v>665.77999999999997</v>
      </c>
      <c s="190">
        <f t="shared" si="47"/>
        <v>0.32000000000000006</v>
      </c>
      <c s="190">
        <f t="shared" si="47"/>
        <v>0.45300000000000007</v>
      </c>
      <c s="190">
        <f t="shared" si="47"/>
        <v>64.939999999999998</v>
      </c>
      <c s="190">
        <f t="shared" si="47"/>
        <v>0.123</v>
      </c>
      <c s="190">
        <f t="shared" si="47"/>
        <v>2.5900000000000003</v>
      </c>
      <c s="190">
        <f t="shared" si="47"/>
        <v>492</v>
      </c>
      <c s="190">
        <f t="shared" si="47"/>
        <v>474.80000000000001</v>
      </c>
      <c s="190">
        <f t="shared" si="47"/>
        <v>2.113</v>
      </c>
      <c s="190">
        <f t="shared" si="47"/>
        <v>0.063</v>
      </c>
      <c s="190">
        <f t="shared" si="47"/>
        <v>112.59999999999999</v>
      </c>
      <c s="190">
        <f t="shared" si="47"/>
        <v>3.5800000000000001</v>
      </c>
    </row>
    <row r="199" spans="2:20" ht="15">
      <c r="B199" s="353" t="s">
        <v>226</v>
      </c>
      <c s="353"/>
      <c s="353"/>
      <c s="353"/>
      <c s="191">
        <f t="shared" si="48" ref="F199:T199">F198/F217</f>
        <v>0.23779220779220783</v>
      </c>
      <c s="191">
        <f t="shared" si="48"/>
        <v>0.29405063291139238</v>
      </c>
      <c s="191">
        <f t="shared" si="48"/>
        <v>0.30092537313432838</v>
      </c>
      <c s="191">
        <f t="shared" si="48"/>
        <v>0.28331063829787234</v>
      </c>
      <c s="191">
        <f t="shared" si="48"/>
        <v>0.26666666666666672</v>
      </c>
      <c s="191">
        <f t="shared" si="48"/>
        <v>0.32357142857142862</v>
      </c>
      <c s="192">
        <f t="shared" si="48"/>
        <v>1.0823333333333334</v>
      </c>
      <c s="191">
        <f t="shared" si="48"/>
        <v>0.17571428571428571</v>
      </c>
      <c s="191">
        <f t="shared" si="48"/>
        <v>0.25900000000000001</v>
      </c>
      <c s="191">
        <f t="shared" si="48"/>
        <v>0.44727272727272727</v>
      </c>
      <c s="191">
        <f t="shared" si="48"/>
        <v>0.43163636363636365</v>
      </c>
      <c s="191">
        <f t="shared" si="48"/>
        <v>0.21129999999999999</v>
      </c>
      <c s="191">
        <f t="shared" si="48"/>
        <v>0.63</v>
      </c>
      <c s="191">
        <f t="shared" si="48"/>
        <v>0.45039999999999997</v>
      </c>
      <c s="191">
        <f t="shared" si="48"/>
        <v>0.29833333333333334</v>
      </c>
    </row>
    <row r="200" spans="2:20" ht="15">
      <c r="B200" s="353" t="s">
        <v>227</v>
      </c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</row>
    <row r="201" spans="2:20" ht="20.25" customHeight="1">
      <c r="B201" s="173" t="s">
        <v>268</v>
      </c>
      <c s="352" t="s">
        <v>269</v>
      </c>
      <c s="352"/>
      <c s="173">
        <v>60</v>
      </c>
      <c s="173">
        <v>0.5</v>
      </c>
      <c s="173">
        <v>3.02</v>
      </c>
      <c s="173">
        <v>1.1000000000000001</v>
      </c>
      <c s="173">
        <v>33.600000000000001</v>
      </c>
      <c s="173">
        <v>0.089999999999999997</v>
      </c>
      <c s="173">
        <v>0.02</v>
      </c>
      <c s="173">
        <v>4.25</v>
      </c>
      <c s="173">
        <v>0.089999999999999997</v>
      </c>
      <c s="173"/>
      <c s="173">
        <v>20.379999999999999</v>
      </c>
      <c s="173">
        <v>13.93</v>
      </c>
      <c s="173"/>
      <c s="173">
        <v>0</v>
      </c>
      <c s="173">
        <v>8.3499999999999996</v>
      </c>
      <c s="173">
        <v>0.38</v>
      </c>
    </row>
    <row r="202" spans="2:20" ht="30" customHeight="1">
      <c r="B202" s="173">
        <v>24</v>
      </c>
      <c s="352" t="s">
        <v>270</v>
      </c>
      <c s="352"/>
      <c s="173">
        <v>60</v>
      </c>
      <c s="173">
        <v>0.29999999999999999</v>
      </c>
      <c s="173">
        <v>2</v>
      </c>
      <c s="173">
        <v>1.6000000000000001</v>
      </c>
      <c s="173">
        <v>25.600000000000001</v>
      </c>
      <c s="173">
        <v>0.059999999999999998</v>
      </c>
      <c s="173">
        <v>0.040000000000000001</v>
      </c>
      <c s="173">
        <v>12.4</v>
      </c>
      <c s="173">
        <v>0</v>
      </c>
      <c s="173">
        <v>1.5</v>
      </c>
      <c s="173">
        <v>28.199999999999999</v>
      </c>
      <c s="173">
        <v>32.299999999999997</v>
      </c>
      <c s="173">
        <v>0.29999999999999999</v>
      </c>
      <c s="173">
        <v>0</v>
      </c>
      <c s="173">
        <v>18.600000000000001</v>
      </c>
      <c s="173">
        <v>0.5</v>
      </c>
    </row>
    <row r="203" spans="2:20" ht="18.75" customHeight="1">
      <c r="B203" s="173">
        <v>84</v>
      </c>
      <c s="352" t="s">
        <v>303</v>
      </c>
      <c s="352"/>
      <c s="173">
        <v>200</v>
      </c>
      <c s="173">
        <v>1.77</v>
      </c>
      <c s="173">
        <v>2.6499999999999999</v>
      </c>
      <c s="173">
        <v>12.74</v>
      </c>
      <c s="173">
        <v>81.890000000000001</v>
      </c>
      <c s="173">
        <v>0.050000000000000003</v>
      </c>
      <c s="173">
        <v>0.050000000000000003</v>
      </c>
      <c s="173">
        <v>19</v>
      </c>
      <c s="173">
        <v>0.73999999999999999</v>
      </c>
      <c s="173">
        <v>0.10000000000000001</v>
      </c>
      <c s="173">
        <v>43.109999999999999</v>
      </c>
      <c s="173">
        <v>48.75</v>
      </c>
      <c s="173">
        <v>1.3</v>
      </c>
      <c s="173">
        <v>0.0030000000000000001</v>
      </c>
      <c s="173">
        <v>22.440000000000001</v>
      </c>
      <c s="173">
        <v>0.80000000000000004</v>
      </c>
    </row>
    <row r="204" spans="2:20" ht="18.75" customHeight="1">
      <c r="B204" s="173">
        <v>260</v>
      </c>
      <c s="352" t="s">
        <v>232</v>
      </c>
      <c s="352"/>
      <c s="173">
        <v>90</v>
      </c>
      <c s="173">
        <v>11.295</v>
      </c>
      <c s="173">
        <v>11.691000000000001</v>
      </c>
      <c s="173">
        <v>3.609</v>
      </c>
      <c s="173">
        <v>164.25</v>
      </c>
      <c s="173">
        <v>0.063</v>
      </c>
      <c s="173">
        <v>0.099000000000000005</v>
      </c>
      <c s="173">
        <v>4.5629999999999997</v>
      </c>
      <c s="173">
        <v>1.341</v>
      </c>
      <c s="173">
        <v>2.0249999999999999</v>
      </c>
      <c s="173">
        <v>27.468</v>
      </c>
      <c s="173">
        <v>107.271</v>
      </c>
      <c s="173"/>
      <c s="173"/>
      <c s="173">
        <v>21.626999999999999</v>
      </c>
      <c s="173">
        <v>1.8899999999999999</v>
      </c>
    </row>
    <row r="205" spans="2:20" ht="25.5" customHeight="1">
      <c r="B205" s="173">
        <v>203</v>
      </c>
      <c s="352" t="s">
        <v>304</v>
      </c>
      <c s="352"/>
      <c s="173">
        <v>150</v>
      </c>
      <c s="173">
        <v>5.5199999999999996</v>
      </c>
      <c s="173">
        <v>4.5199999999999996</v>
      </c>
      <c s="173">
        <v>26.449999999999999</v>
      </c>
      <c s="173">
        <v>168.56</v>
      </c>
      <c s="173">
        <v>0.089999999999999997</v>
      </c>
      <c s="173">
        <v>0.029999999999999999</v>
      </c>
      <c s="173">
        <v>0</v>
      </c>
      <c s="173">
        <v>0.033000000000000002</v>
      </c>
      <c s="173">
        <v>1.25</v>
      </c>
      <c s="173">
        <v>13.300000000000001</v>
      </c>
      <c s="173">
        <v>46.210000000000001</v>
      </c>
      <c s="173">
        <v>0.01</v>
      </c>
      <c s="173">
        <v>0.002</v>
      </c>
      <c s="173">
        <v>8.4700000000000006</v>
      </c>
      <c s="173">
        <v>0.85999999999999999</v>
      </c>
    </row>
    <row r="206" spans="2:20" ht="27.75" customHeight="1">
      <c r="B206" s="173">
        <v>648</v>
      </c>
      <c s="352" t="s">
        <v>294</v>
      </c>
      <c s="352"/>
      <c s="173">
        <v>200</v>
      </c>
      <c s="173">
        <v>0</v>
      </c>
      <c s="173">
        <v>0</v>
      </c>
      <c s="173">
        <v>20</v>
      </c>
      <c s="173">
        <v>76</v>
      </c>
      <c s="173">
        <v>0</v>
      </c>
      <c s="173">
        <v>0</v>
      </c>
      <c s="173">
        <v>0</v>
      </c>
      <c s="173">
        <v>0</v>
      </c>
      <c s="173"/>
      <c s="173">
        <v>0.47999999999999998</v>
      </c>
      <c s="173">
        <v>0</v>
      </c>
      <c s="173">
        <v>0</v>
      </c>
      <c s="173">
        <v>0</v>
      </c>
      <c s="173">
        <v>0</v>
      </c>
      <c s="173">
        <v>0.059999999999999998</v>
      </c>
    </row>
    <row r="207" spans="2:20" ht="19.5" customHeight="1">
      <c r="B207" s="173" t="s">
        <v>224</v>
      </c>
      <c s="352" t="s">
        <v>235</v>
      </c>
      <c s="352"/>
      <c s="173">
        <v>40</v>
      </c>
      <c s="173">
        <v>2.6400000000000001</v>
      </c>
      <c s="173">
        <v>0.47999999999999998</v>
      </c>
      <c s="173">
        <v>13.68</v>
      </c>
      <c s="173">
        <v>69.599999999999994</v>
      </c>
      <c s="173">
        <v>0.080000000000000002</v>
      </c>
      <c s="173">
        <v>0.040000000000000001</v>
      </c>
      <c s="173">
        <v>0</v>
      </c>
      <c s="173">
        <v>0</v>
      </c>
      <c s="173">
        <v>2.3999999999999999</v>
      </c>
      <c s="173">
        <v>14</v>
      </c>
      <c s="173">
        <v>63.200000000000003</v>
      </c>
      <c s="173">
        <v>1.2</v>
      </c>
      <c s="173">
        <v>0.001</v>
      </c>
      <c s="173">
        <v>9.4000000000000004</v>
      </c>
      <c s="173">
        <v>0.78000000000000003</v>
      </c>
    </row>
    <row r="208" spans="2:20" ht="15">
      <c r="B208" s="173" t="s">
        <v>224</v>
      </c>
      <c s="352" t="s">
        <v>117</v>
      </c>
      <c s="352"/>
      <c s="173">
        <v>30</v>
      </c>
      <c s="173">
        <v>1.52</v>
      </c>
      <c s="173">
        <v>0.16</v>
      </c>
      <c s="173">
        <v>9.8399999999999999</v>
      </c>
      <c s="173">
        <v>46.899999999999999</v>
      </c>
      <c s="173">
        <v>0.02</v>
      </c>
      <c s="173">
        <v>0.01</v>
      </c>
      <c s="173">
        <v>0.44</v>
      </c>
      <c s="173">
        <v>0</v>
      </c>
      <c s="173">
        <v>0.69999999999999996</v>
      </c>
      <c s="173">
        <v>4</v>
      </c>
      <c s="173">
        <v>13</v>
      </c>
      <c s="173">
        <v>0.0080000000000000002</v>
      </c>
      <c s="173">
        <v>0.001</v>
      </c>
      <c s="173">
        <v>0</v>
      </c>
      <c s="173">
        <v>0.22</v>
      </c>
    </row>
    <row r="209" spans="2:20" ht="25.5" customHeight="1">
      <c r="B209" s="353" t="s">
        <v>236</v>
      </c>
      <c s="353"/>
      <c s="353"/>
      <c s="190">
        <f>E202+E203+E204+E205+E206+E207+E208</f>
        <v>770</v>
      </c>
      <c s="190">
        <f t="shared" si="49" ref="F209:T209">F202+F203+F204+F205+F206+F207+F208</f>
        <v>23.044999999999998</v>
      </c>
      <c s="190">
        <f t="shared" si="49"/>
        <v>21.501000000000001</v>
      </c>
      <c s="190">
        <f t="shared" si="49"/>
        <v>87.919000000000011</v>
      </c>
      <c s="190">
        <f t="shared" si="49"/>
        <v>632.79999999999995</v>
      </c>
      <c s="190">
        <f t="shared" si="49"/>
        <v>0.36300000000000004</v>
      </c>
      <c s="190">
        <f t="shared" si="49"/>
        <v>0.26900000000000002</v>
      </c>
      <c s="190">
        <f t="shared" si="49"/>
        <v>36.402999999999999</v>
      </c>
      <c s="190">
        <f t="shared" si="49"/>
        <v>2.1139999999999999</v>
      </c>
      <c s="190">
        <f t="shared" si="49"/>
        <v>7.9750000000000005</v>
      </c>
      <c s="190">
        <f t="shared" si="49"/>
        <v>130.55799999999999</v>
      </c>
      <c s="190">
        <f t="shared" si="49"/>
        <v>310.73099999999999</v>
      </c>
      <c s="190">
        <f t="shared" si="49"/>
        <v>2.8180000000000001</v>
      </c>
      <c s="190">
        <f t="shared" si="49"/>
        <v>0.0070000000000000001</v>
      </c>
      <c s="190">
        <f t="shared" si="49"/>
        <v>80.537000000000006</v>
      </c>
      <c s="190">
        <f t="shared" si="49"/>
        <v>5.1099999999999994</v>
      </c>
    </row>
    <row r="210" spans="2:20" ht="15">
      <c r="B210" s="353" t="s">
        <v>226</v>
      </c>
      <c s="353"/>
      <c s="353"/>
      <c s="353"/>
      <c s="191">
        <f t="shared" si="50" ref="F210:T210">F209/F217</f>
        <v>0.29928571428571427</v>
      </c>
      <c s="191">
        <f t="shared" si="50"/>
        <v>0.27216455696202535</v>
      </c>
      <c s="191">
        <f t="shared" si="50"/>
        <v>0.26244477611940303</v>
      </c>
      <c s="191">
        <f t="shared" si="50"/>
        <v>0.26927659574468082</v>
      </c>
      <c s="191">
        <f t="shared" si="50"/>
        <v>0.30250000000000005</v>
      </c>
      <c s="191">
        <f t="shared" si="50"/>
        <v>0.19214285714285717</v>
      </c>
      <c s="191">
        <f t="shared" si="50"/>
        <v>0.60671666666666668</v>
      </c>
      <c s="192">
        <f t="shared" si="50"/>
        <v>3.02</v>
      </c>
      <c s="191">
        <f t="shared" si="50"/>
        <v>0.7975000000000001</v>
      </c>
      <c s="191">
        <f t="shared" si="50"/>
        <v>0.1186890909090909</v>
      </c>
      <c s="191">
        <f t="shared" si="50"/>
        <v>0.28248272727272727</v>
      </c>
      <c s="191">
        <f t="shared" si="50"/>
        <v>0.28179999999999999</v>
      </c>
      <c s="191">
        <f t="shared" si="50"/>
        <v>0.069999999999999993</v>
      </c>
      <c s="191">
        <f t="shared" si="50"/>
        <v>0.32214800000000005</v>
      </c>
      <c s="191">
        <f t="shared" si="50"/>
        <v>0.42583333333333329</v>
      </c>
    </row>
    <row r="211" spans="2:20" ht="15">
      <c r="B211" s="353" t="s">
        <v>237</v>
      </c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</row>
    <row r="212" spans="2:20" ht="17.25" customHeight="1">
      <c r="B212" s="177" t="s">
        <v>224</v>
      </c>
      <c s="345" t="s">
        <v>257</v>
      </c>
      <c s="345"/>
      <c s="177">
        <v>80</v>
      </c>
      <c s="177">
        <v>5.9500000000000002</v>
      </c>
      <c s="177">
        <v>6.0499999999999998</v>
      </c>
      <c s="177">
        <v>38.219999999999999</v>
      </c>
      <c s="177">
        <v>231.11000000000001</v>
      </c>
      <c s="177">
        <v>0.059999999999999998</v>
      </c>
      <c s="177">
        <v>0.059999999999999998</v>
      </c>
      <c s="177">
        <v>0.02</v>
      </c>
      <c s="177">
        <v>0.059999999999999998</v>
      </c>
      <c s="177"/>
      <c s="177">
        <v>19.489999999999998</v>
      </c>
      <c s="177">
        <v>55.890000000000001</v>
      </c>
      <c s="177"/>
      <c s="177">
        <v>0</v>
      </c>
      <c s="177">
        <v>8.2699999999999996</v>
      </c>
      <c s="177">
        <v>0.69999999999999996</v>
      </c>
    </row>
    <row r="213" spans="2:20" ht="17.25" customHeight="1">
      <c r="B213" s="173">
        <v>376</v>
      </c>
      <c s="352" t="s">
        <v>141</v>
      </c>
      <c s="352"/>
      <c s="173">
        <v>200</v>
      </c>
      <c s="173">
        <v>0.20000000000000001</v>
      </c>
      <c s="173">
        <v>0.050000000000000003</v>
      </c>
      <c s="173">
        <v>15.01</v>
      </c>
      <c s="173">
        <v>61</v>
      </c>
      <c s="173">
        <v>0</v>
      </c>
      <c s="173">
        <v>0.01</v>
      </c>
      <c s="173">
        <v>9</v>
      </c>
      <c s="173">
        <v>0.0001</v>
      </c>
      <c s="173">
        <v>0.044999999999999998</v>
      </c>
      <c s="173">
        <v>5.25</v>
      </c>
      <c s="173">
        <v>8.2400000000000002</v>
      </c>
      <c s="173">
        <v>0.0080000000000000002</v>
      </c>
      <c s="173">
        <v>0</v>
      </c>
      <c s="173">
        <v>4.4000000000000004</v>
      </c>
      <c s="173">
        <v>0.87</v>
      </c>
    </row>
    <row r="214" spans="2:20" ht="15" customHeight="1">
      <c r="B214" s="349" t="s">
        <v>240</v>
      </c>
      <c s="350"/>
      <c s="351"/>
      <c s="178">
        <f>SUM(E212:E213)</f>
        <v>280</v>
      </c>
      <c s="178">
        <f t="shared" si="51" ref="F214:T214">SUM(F212:F213)</f>
        <v>6.1500000000000004</v>
      </c>
      <c s="178">
        <f t="shared" si="51"/>
        <v>6.0999999999999996</v>
      </c>
      <c s="178">
        <f t="shared" si="51"/>
        <v>53.229999999999997</v>
      </c>
      <c s="178">
        <f t="shared" si="51"/>
        <v>292.11000000000001</v>
      </c>
      <c s="178">
        <f t="shared" si="51"/>
        <v>0.059999999999999998</v>
      </c>
      <c s="178">
        <f t="shared" si="51"/>
        <v>0.069999999999999993</v>
      </c>
      <c s="178">
        <f t="shared" si="51"/>
        <v>9.0199999999999996</v>
      </c>
      <c s="178">
        <f t="shared" si="51"/>
        <v>0.060100000000000001</v>
      </c>
      <c s="178">
        <f t="shared" si="51"/>
        <v>0.044999999999999998</v>
      </c>
      <c s="178">
        <f t="shared" si="51"/>
        <v>24.739999999999998</v>
      </c>
      <c s="178">
        <f t="shared" si="51"/>
        <v>64.129999999999995</v>
      </c>
      <c s="178">
        <f t="shared" si="51"/>
        <v>0.0080000000000000002</v>
      </c>
      <c s="178">
        <f t="shared" si="51"/>
        <v>0</v>
      </c>
      <c s="178">
        <f t="shared" si="51"/>
        <v>12.67</v>
      </c>
      <c s="178">
        <f t="shared" si="51"/>
        <v>1.5699999999999998</v>
      </c>
    </row>
    <row r="215" spans="2:20" ht="15">
      <c r="B215" s="353" t="s">
        <v>226</v>
      </c>
      <c s="353"/>
      <c s="353"/>
      <c s="353"/>
      <c s="191">
        <f>F214/F217</f>
        <v>0.079870129870129869</v>
      </c>
      <c s="191">
        <f t="shared" si="52" ref="G215:T215">G214/G217</f>
        <v>0.077215189873417717</v>
      </c>
      <c s="191">
        <f t="shared" si="52"/>
        <v>0.15889552238805968</v>
      </c>
      <c s="191">
        <f t="shared" si="52"/>
        <v>0.12430212765957448</v>
      </c>
      <c s="191">
        <f t="shared" si="52"/>
        <v>0.050000000000000003</v>
      </c>
      <c s="191">
        <f t="shared" si="52"/>
        <v>0.049999999999999996</v>
      </c>
      <c s="191">
        <f t="shared" si="52"/>
        <v>0.15033333333333332</v>
      </c>
      <c s="191">
        <f t="shared" si="52"/>
        <v>0.085857142857142868</v>
      </c>
      <c s="191">
        <f t="shared" si="52"/>
        <v>0.0044999999999999997</v>
      </c>
      <c s="191">
        <f t="shared" si="52"/>
        <v>0.022490909090909089</v>
      </c>
      <c s="191">
        <f t="shared" si="52"/>
        <v>0.058299999999999998</v>
      </c>
      <c s="191">
        <f t="shared" si="52"/>
        <v>0.00080000000000000004</v>
      </c>
      <c s="191">
        <f t="shared" si="52"/>
        <v>0</v>
      </c>
      <c s="191">
        <f t="shared" si="52"/>
        <v>0.050680000000000003</v>
      </c>
      <c s="191">
        <f t="shared" si="52"/>
        <v>0.13083333333333333</v>
      </c>
    </row>
    <row r="216" spans="2:20" ht="15">
      <c r="B216" s="353" t="s">
        <v>241</v>
      </c>
      <c s="353"/>
      <c s="353"/>
      <c s="353"/>
      <c s="190">
        <f>F214+F209+F198</f>
        <v>47.505000000000003</v>
      </c>
      <c s="190">
        <f t="shared" si="53" ref="G216:T216">G214+G209+G198</f>
        <v>50.831000000000003</v>
      </c>
      <c s="190">
        <f t="shared" si="53"/>
        <v>241.959</v>
      </c>
      <c s="190">
        <f t="shared" si="53"/>
        <v>1590.6900000000001</v>
      </c>
      <c s="190">
        <f t="shared" si="53"/>
        <v>0.7430000000000001</v>
      </c>
      <c s="190">
        <f t="shared" si="53"/>
        <v>0.79200000000000004</v>
      </c>
      <c s="190">
        <f t="shared" si="53"/>
        <v>110.363</v>
      </c>
      <c s="190">
        <f t="shared" si="53"/>
        <v>2.2970999999999995</v>
      </c>
      <c s="190">
        <f t="shared" si="53"/>
        <v>10.610000000000001</v>
      </c>
      <c s="190">
        <f t="shared" si="53"/>
        <v>647.298</v>
      </c>
      <c s="190">
        <f t="shared" si="53"/>
        <v>849.66100000000006</v>
      </c>
      <c s="190">
        <f t="shared" si="53"/>
        <v>4.9390000000000001</v>
      </c>
      <c s="190">
        <f t="shared" si="53"/>
        <v>0.070000000000000007</v>
      </c>
      <c s="190">
        <f t="shared" si="53"/>
        <v>205.80700000000002</v>
      </c>
      <c s="190">
        <f t="shared" si="53"/>
        <v>10.26</v>
      </c>
    </row>
    <row r="217" spans="2:20" ht="15">
      <c r="B217" s="353" t="s">
        <v>242</v>
      </c>
      <c s="353"/>
      <c s="353"/>
      <c s="353"/>
      <c s="173">
        <v>77</v>
      </c>
      <c s="173">
        <v>79</v>
      </c>
      <c s="173">
        <v>335</v>
      </c>
      <c s="173">
        <v>2350</v>
      </c>
      <c s="173">
        <v>1.2</v>
      </c>
      <c s="173">
        <v>1.3999999999999999</v>
      </c>
      <c s="173">
        <v>60</v>
      </c>
      <c s="173">
        <v>0.69999999999999996</v>
      </c>
      <c s="173">
        <v>10</v>
      </c>
      <c s="173">
        <v>1100</v>
      </c>
      <c s="173">
        <v>1100</v>
      </c>
      <c s="173">
        <v>10</v>
      </c>
      <c s="173">
        <v>0.10000000000000001</v>
      </c>
      <c s="173">
        <v>250</v>
      </c>
      <c s="173">
        <v>12</v>
      </c>
    </row>
    <row r="218" spans="2:20" ht="15">
      <c r="B218" s="353" t="s">
        <v>226</v>
      </c>
      <c s="353"/>
      <c s="353"/>
      <c s="353"/>
      <c s="191">
        <f>F216/F217</f>
        <v>0.61694805194805202</v>
      </c>
      <c s="191">
        <f t="shared" si="54" ref="G218:T218">G216/G217</f>
        <v>0.64343037974683548</v>
      </c>
      <c s="191">
        <f t="shared" si="54"/>
        <v>0.72226567164179101</v>
      </c>
      <c s="191">
        <f t="shared" si="54"/>
        <v>0.67688936170212766</v>
      </c>
      <c s="191">
        <f t="shared" si="54"/>
        <v>0.61916666666666675</v>
      </c>
      <c s="191">
        <f t="shared" si="54"/>
        <v>0.56571428571428573</v>
      </c>
      <c s="191">
        <f t="shared" si="54"/>
        <v>1.8393833333333334</v>
      </c>
      <c s="191">
        <f t="shared" si="54"/>
        <v>3.2815714285714281</v>
      </c>
      <c s="191">
        <f t="shared" si="54"/>
        <v>1.0610000000000002</v>
      </c>
      <c s="191">
        <f t="shared" si="54"/>
        <v>0.58845272727272724</v>
      </c>
      <c s="191">
        <f t="shared" si="54"/>
        <v>0.772419090909091</v>
      </c>
      <c s="191">
        <f t="shared" si="54"/>
        <v>0.49390000000000001</v>
      </c>
      <c s="191">
        <f t="shared" si="54"/>
        <v>0.70000000000000007</v>
      </c>
      <c s="191">
        <f t="shared" si="54"/>
        <v>0.82322800000000007</v>
      </c>
      <c s="191">
        <f t="shared" si="54"/>
        <v>0.85499999999999998</v>
      </c>
    </row>
    <row r="219" spans="2:20" ht="15">
      <c r="B219" s="172"/>
      <c s="173"/>
      <c s="173"/>
      <c s="173"/>
      <c s="173"/>
      <c s="173"/>
      <c s="173"/>
      <c s="173"/>
      <c s="173"/>
      <c s="173"/>
      <c s="173"/>
      <c s="356" t="s">
        <v>187</v>
      </c>
      <c s="356"/>
      <c s="356"/>
      <c s="356"/>
      <c s="356"/>
      <c s="356"/>
      <c s="356"/>
      <c s="356"/>
    </row>
    <row r="220" spans="2:20" ht="15">
      <c r="B220" s="353" t="s">
        <v>305</v>
      </c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</row>
    <row r="221" spans="2:20" ht="15">
      <c r="B221" s="353" t="s">
        <v>189</v>
      </c>
      <c s="353"/>
      <c s="173"/>
      <c s="173"/>
      <c s="173"/>
      <c s="356" t="s">
        <v>244</v>
      </c>
      <c s="356"/>
      <c s="356"/>
      <c s="173"/>
      <c s="173"/>
      <c s="353" t="s">
        <v>191</v>
      </c>
      <c s="353"/>
      <c s="356" t="s">
        <v>192</v>
      </c>
      <c s="356"/>
      <c s="356"/>
      <c s="356"/>
      <c s="173"/>
      <c s="173"/>
      <c s="173"/>
    </row>
    <row r="222" spans="2:20" ht="15">
      <c r="B222" s="173"/>
      <c s="173"/>
      <c s="173"/>
      <c s="353" t="s">
        <v>194</v>
      </c>
      <c s="353"/>
      <c s="173">
        <v>2</v>
      </c>
      <c s="173"/>
      <c s="173"/>
      <c s="173"/>
      <c s="173"/>
      <c s="353" t="s">
        <v>195</v>
      </c>
      <c s="353"/>
      <c s="356" t="s">
        <v>196</v>
      </c>
      <c s="356"/>
      <c s="356"/>
      <c s="356"/>
      <c s="356"/>
      <c s="356"/>
      <c s="356"/>
    </row>
    <row r="223" spans="2:20" ht="15">
      <c r="B223" s="174" t="s">
        <v>0</v>
      </c>
      <c s="354" t="s">
        <v>198</v>
      </c>
      <c s="354"/>
      <c s="354" t="s">
        <v>199</v>
      </c>
      <c s="354" t="s">
        <v>200</v>
      </c>
      <c s="354"/>
      <c s="354"/>
      <c s="174" t="s">
        <v>201</v>
      </c>
      <c s="354" t="s">
        <v>202</v>
      </c>
      <c s="354"/>
      <c s="354"/>
      <c s="354"/>
      <c s="354"/>
      <c s="354" t="s">
        <v>203</v>
      </c>
      <c s="354"/>
      <c s="354"/>
      <c s="354"/>
      <c s="354"/>
      <c s="354"/>
    </row>
    <row r="224" spans="2:20" ht="51">
      <c r="B224" s="174" t="s">
        <v>245</v>
      </c>
      <c s="354"/>
      <c s="354"/>
      <c s="354"/>
      <c s="174" t="s">
        <v>204</v>
      </c>
      <c s="174" t="s">
        <v>205</v>
      </c>
      <c s="174" t="s">
        <v>206</v>
      </c>
      <c s="174" t="s">
        <v>207</v>
      </c>
      <c s="174" t="s">
        <v>208</v>
      </c>
      <c s="174" t="s">
        <v>209</v>
      </c>
      <c s="174" t="s">
        <v>210</v>
      </c>
      <c s="174" t="s">
        <v>211</v>
      </c>
      <c s="174" t="s">
        <v>212</v>
      </c>
      <c s="174" t="s">
        <v>213</v>
      </c>
      <c s="174" t="s">
        <v>214</v>
      </c>
      <c s="174" t="s">
        <v>215</v>
      </c>
      <c s="174" t="s">
        <v>216</v>
      </c>
      <c s="174" t="s">
        <v>217</v>
      </c>
      <c s="174" t="s">
        <v>218</v>
      </c>
    </row>
    <row r="225" spans="2:20" ht="15">
      <c r="B225" s="175">
        <v>1</v>
      </c>
      <c s="355">
        <v>2</v>
      </c>
      <c s="355"/>
      <c s="175">
        <v>3</v>
      </c>
      <c s="175">
        <v>4</v>
      </c>
      <c s="175">
        <v>5</v>
      </c>
      <c s="175">
        <v>6</v>
      </c>
      <c s="175">
        <v>7</v>
      </c>
      <c s="175">
        <v>8</v>
      </c>
      <c s="175">
        <v>9</v>
      </c>
      <c s="175">
        <v>10</v>
      </c>
      <c s="175">
        <v>11</v>
      </c>
      <c s="175">
        <v>12</v>
      </c>
      <c s="175">
        <v>13</v>
      </c>
      <c s="175">
        <v>14</v>
      </c>
      <c s="175">
        <v>15</v>
      </c>
      <c s="175">
        <v>16</v>
      </c>
      <c s="175">
        <v>17</v>
      </c>
      <c s="175">
        <v>18</v>
      </c>
    </row>
    <row r="226" spans="2:20" ht="15">
      <c r="B226" s="353" t="s">
        <v>246</v>
      </c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</row>
    <row r="227" spans="2:20" ht="18.75" customHeight="1">
      <c r="B227" s="177" t="s">
        <v>344</v>
      </c>
      <c s="360" t="s">
        <v>220</v>
      </c>
      <c s="360"/>
      <c s="177">
        <v>100</v>
      </c>
      <c s="177">
        <v>0.40000000000000002</v>
      </c>
      <c s="177">
        <v>0.40000000000000002</v>
      </c>
      <c s="177">
        <v>9.8000000000000007</v>
      </c>
      <c s="177">
        <v>42</v>
      </c>
      <c s="177">
        <v>0.040000000000000001</v>
      </c>
      <c s="177">
        <v>0.02</v>
      </c>
      <c s="177">
        <v>10</v>
      </c>
      <c s="177">
        <v>0</v>
      </c>
      <c s="177">
        <v>0.20000000000000001</v>
      </c>
      <c s="177">
        <v>16</v>
      </c>
      <c s="177">
        <v>11</v>
      </c>
      <c s="177">
        <v>0</v>
      </c>
      <c s="177">
        <v>0</v>
      </c>
      <c s="177">
        <v>9</v>
      </c>
      <c s="177">
        <v>2.2000000000000002</v>
      </c>
    </row>
    <row r="228" spans="2:20" s="200" customFormat="1" ht="27" customHeight="1">
      <c r="B228" s="184">
        <v>71</v>
      </c>
      <c s="345" t="s">
        <v>343</v>
      </c>
      <c s="345"/>
      <c s="184">
        <v>40</v>
      </c>
      <c s="184">
        <v>0.33000000000000002</v>
      </c>
      <c s="184">
        <v>0.040000000000000001</v>
      </c>
      <c s="184">
        <v>1.1299999999999999</v>
      </c>
      <c s="184">
        <v>6.2300000000000004</v>
      </c>
      <c s="184">
        <v>0.0089999999999999993</v>
      </c>
      <c s="184">
        <v>0.01</v>
      </c>
      <c s="184">
        <v>3</v>
      </c>
      <c s="184">
        <v>0.0030000000000000001</v>
      </c>
      <c s="184">
        <v>0.029999999999999999</v>
      </c>
      <c s="184">
        <v>6.9000000000000004</v>
      </c>
      <c s="184">
        <v>12.6</v>
      </c>
      <c s="184">
        <v>0.064000000000000001</v>
      </c>
      <c s="184">
        <v>0.001</v>
      </c>
      <c s="184">
        <v>4.2000000000000002</v>
      </c>
      <c s="184">
        <v>0.17999999999999999</v>
      </c>
    </row>
    <row r="229" spans="2:20" s="200" customFormat="1" ht="30" customHeight="1">
      <c r="B229" s="173">
        <v>392</v>
      </c>
      <c s="361" t="s">
        <v>177</v>
      </c>
      <c s="362"/>
      <c s="173">
        <v>90</v>
      </c>
      <c s="173">
        <v>9.9000000000000004</v>
      </c>
      <c s="173">
        <v>10.529999999999999</v>
      </c>
      <c s="173">
        <v>7.0199999999999996</v>
      </c>
      <c s="173">
        <v>162</v>
      </c>
      <c s="173">
        <v>0.050000000000000003</v>
      </c>
      <c s="173">
        <v>0</v>
      </c>
      <c s="173">
        <v>0.089999999999999997</v>
      </c>
      <c s="173">
        <v>0.050000000000000003</v>
      </c>
      <c s="173"/>
      <c s="173">
        <v>9</v>
      </c>
      <c s="173">
        <v>90.900000000000006</v>
      </c>
      <c s="173">
        <v>0</v>
      </c>
      <c s="173">
        <v>0</v>
      </c>
      <c s="173">
        <v>11.699999999999999</v>
      </c>
      <c s="173">
        <v>1.4399999999999999</v>
      </c>
    </row>
    <row r="230" spans="2:20" s="200" customFormat="1" ht="25.5" customHeight="1">
      <c r="B230" s="173">
        <v>175</v>
      </c>
      <c s="352" t="s">
        <v>179</v>
      </c>
      <c s="352"/>
      <c s="173">
        <v>150</v>
      </c>
      <c s="173">
        <v>3.5</v>
      </c>
      <c s="173">
        <v>5</v>
      </c>
      <c s="173">
        <v>25.199999999999999</v>
      </c>
      <c s="173">
        <v>152.80000000000001</v>
      </c>
      <c s="173">
        <v>0.10000000000000001</v>
      </c>
      <c s="173">
        <v>0.10000000000000001</v>
      </c>
      <c s="173">
        <v>3.3999999999999999</v>
      </c>
      <c s="173">
        <v>0.036999999999999998</v>
      </c>
      <c s="173">
        <v>0</v>
      </c>
      <c s="173">
        <v>127.40000000000001</v>
      </c>
      <c s="173">
        <v>183.5</v>
      </c>
      <c s="173">
        <v>0</v>
      </c>
      <c s="173">
        <v>0</v>
      </c>
      <c s="173">
        <v>55.100000000000001</v>
      </c>
      <c s="173">
        <v>0.29999999999999999</v>
      </c>
    </row>
    <row r="231" spans="2:20" s="200" customFormat="1" ht="16.5" customHeight="1">
      <c r="B231" s="177">
        <v>376</v>
      </c>
      <c s="345" t="s">
        <v>141</v>
      </c>
      <c s="345"/>
      <c s="177">
        <v>200</v>
      </c>
      <c s="177">
        <v>0.20000000000000001</v>
      </c>
      <c s="177">
        <v>0.050000000000000003</v>
      </c>
      <c s="177">
        <v>15.01</v>
      </c>
      <c s="177">
        <v>61</v>
      </c>
      <c s="177">
        <v>0</v>
      </c>
      <c s="177">
        <v>0.01</v>
      </c>
      <c s="177">
        <v>9</v>
      </c>
      <c s="177">
        <v>0.0001</v>
      </c>
      <c s="177">
        <v>0.044999999999999998</v>
      </c>
      <c s="177">
        <v>5.25</v>
      </c>
      <c s="177">
        <v>8.2400000000000002</v>
      </c>
      <c s="177">
        <v>0.0080000000000000002</v>
      </c>
      <c s="177">
        <v>0</v>
      </c>
      <c s="177">
        <v>4.4000000000000004</v>
      </c>
      <c s="177">
        <v>0.87</v>
      </c>
    </row>
    <row r="232" spans="2:20" ht="15">
      <c r="B232" s="173" t="s">
        <v>224</v>
      </c>
      <c s="352" t="s">
        <v>161</v>
      </c>
      <c s="352"/>
      <c s="173">
        <v>40</v>
      </c>
      <c s="173">
        <v>3.04</v>
      </c>
      <c s="173">
        <v>0.32000000000000001</v>
      </c>
      <c s="173">
        <v>19.68</v>
      </c>
      <c s="173">
        <v>88.799999999999997</v>
      </c>
      <c s="173">
        <v>0.040000000000000001</v>
      </c>
      <c s="173">
        <v>0.01</v>
      </c>
      <c s="173">
        <v>0.88</v>
      </c>
      <c s="173">
        <v>0</v>
      </c>
      <c s="173">
        <v>0.69999999999999996</v>
      </c>
      <c s="173">
        <v>8</v>
      </c>
      <c s="173">
        <v>26</v>
      </c>
      <c s="173">
        <v>0.0080000000000000002</v>
      </c>
      <c s="173">
        <v>0.0030000000000000001</v>
      </c>
      <c s="173">
        <v>0</v>
      </c>
      <c s="173">
        <v>0.44</v>
      </c>
    </row>
    <row r="233" spans="2:20" ht="15">
      <c r="B233" s="349" t="s">
        <v>251</v>
      </c>
      <c s="350"/>
      <c s="351"/>
      <c s="190">
        <f>SUM(E228:E232)</f>
        <v>520</v>
      </c>
      <c s="190">
        <f>SUM(F228:F232)</f>
        <v>16.969999999999999</v>
      </c>
      <c s="190">
        <f t="shared" si="55" ref="G233:T233">SUM(G228:G232)</f>
        <v>15.94</v>
      </c>
      <c s="190">
        <f t="shared" si="55"/>
        <v>68.039999999999992</v>
      </c>
      <c s="190">
        <f t="shared" si="55"/>
        <v>470.82999999999998</v>
      </c>
      <c s="190">
        <f t="shared" si="55"/>
        <v>0.19900000000000001</v>
      </c>
      <c s="190">
        <f t="shared" si="55"/>
        <v>0.13</v>
      </c>
      <c s="190">
        <f t="shared" si="55"/>
        <v>16.370000000000001</v>
      </c>
      <c s="190">
        <f t="shared" si="55"/>
        <v>0.0901</v>
      </c>
      <c s="190">
        <f t="shared" si="55"/>
        <v>0.77499999999999991</v>
      </c>
      <c s="190">
        <f t="shared" si="55"/>
        <v>156.55000000000001</v>
      </c>
      <c s="190">
        <f t="shared" si="55"/>
        <v>321.24000000000001</v>
      </c>
      <c s="190">
        <f t="shared" si="55"/>
        <v>0.080000000000000016</v>
      </c>
      <c s="190">
        <f t="shared" si="55"/>
        <v>0.0040000000000000001</v>
      </c>
      <c s="190">
        <f t="shared" si="55"/>
        <v>75.400000000000006</v>
      </c>
      <c s="190">
        <f t="shared" si="55"/>
        <v>3.23</v>
      </c>
    </row>
    <row r="234" spans="2:20" ht="15">
      <c r="B234" s="353" t="s">
        <v>226</v>
      </c>
      <c s="353"/>
      <c s="353"/>
      <c s="353"/>
      <c s="191">
        <f t="shared" si="56" ref="F234:T234">F233/F251</f>
        <v>0.22038961038961039</v>
      </c>
      <c s="191">
        <f t="shared" si="56"/>
        <v>0.20177215189873418</v>
      </c>
      <c s="191">
        <f t="shared" si="56"/>
        <v>0.20310447761194028</v>
      </c>
      <c s="191">
        <f t="shared" si="56"/>
        <v>0.2003531914893617</v>
      </c>
      <c s="191">
        <f t="shared" si="56"/>
        <v>0.16583333333333336</v>
      </c>
      <c s="191">
        <f t="shared" si="56"/>
        <v>0.09285714285714286</v>
      </c>
      <c s="191">
        <f t="shared" si="56"/>
        <v>0.27283333333333337</v>
      </c>
      <c s="191">
        <f t="shared" si="56"/>
        <v>0.12871428571428573</v>
      </c>
      <c s="191">
        <f t="shared" si="56"/>
        <v>0.077499999999999986</v>
      </c>
      <c s="191">
        <f t="shared" si="56"/>
        <v>0.14231818181818182</v>
      </c>
      <c s="191">
        <f t="shared" si="56"/>
        <v>0.29203636363636365</v>
      </c>
      <c s="191">
        <f t="shared" si="56"/>
        <v>0.0080000000000000019</v>
      </c>
      <c s="191">
        <f t="shared" si="56"/>
        <v>0.040000000000000001</v>
      </c>
      <c s="191">
        <f t="shared" si="56"/>
        <v>0.30160000000000003</v>
      </c>
      <c s="191">
        <f t="shared" si="56"/>
        <v>0.26916666666666667</v>
      </c>
    </row>
    <row r="235" spans="2:20" ht="15">
      <c r="B235" s="353" t="s">
        <v>227</v>
      </c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</row>
    <row r="236" spans="2:20" ht="15">
      <c r="B236" s="173">
        <v>45</v>
      </c>
      <c s="352" t="s">
        <v>306</v>
      </c>
      <c s="352"/>
      <c s="173">
        <v>60</v>
      </c>
      <c s="173">
        <v>0.81000000000000005</v>
      </c>
      <c s="173">
        <v>3.7000000000000002</v>
      </c>
      <c s="173">
        <v>4.6100000000000003</v>
      </c>
      <c s="173">
        <v>54.960000000000001</v>
      </c>
      <c s="173">
        <v>0.029999999999999999</v>
      </c>
      <c s="173">
        <v>0.040000000000000001</v>
      </c>
      <c s="173">
        <v>7.9500000000000002</v>
      </c>
      <c s="173">
        <v>0.029999999999999999</v>
      </c>
      <c s="173"/>
      <c s="173">
        <v>20.129999999999999</v>
      </c>
      <c s="173">
        <v>24.100000000000001</v>
      </c>
      <c s="173"/>
      <c s="173">
        <v>0</v>
      </c>
      <c s="173">
        <v>12.81</v>
      </c>
      <c s="173">
        <v>0.53000000000000003</v>
      </c>
    </row>
    <row r="237" spans="2:20" ht="28.5" customHeight="1">
      <c r="B237" s="173">
        <v>113</v>
      </c>
      <c s="352" t="s">
        <v>307</v>
      </c>
      <c s="352"/>
      <c s="173" t="s">
        <v>308</v>
      </c>
      <c s="173">
        <v>6.9000000000000004</v>
      </c>
      <c s="173">
        <v>6.9500000000000002</v>
      </c>
      <c s="173">
        <v>18.760000000000002</v>
      </c>
      <c s="173">
        <v>165.19999999999999</v>
      </c>
      <c s="173">
        <v>0.17999999999999999</v>
      </c>
      <c s="173">
        <v>0.17000000000000001</v>
      </c>
      <c s="173">
        <v>4.2000000000000002</v>
      </c>
      <c s="173">
        <v>0.81999999999999995</v>
      </c>
      <c s="173">
        <v>0.29999999999999999</v>
      </c>
      <c s="173">
        <v>34.700000000000003</v>
      </c>
      <c s="173">
        <v>75.879999999999995</v>
      </c>
      <c s="173">
        <v>0.10000000000000001</v>
      </c>
      <c s="173">
        <v>0</v>
      </c>
      <c s="173">
        <v>14.5</v>
      </c>
      <c s="173">
        <v>0.98999999999999999</v>
      </c>
    </row>
    <row r="238" spans="2:20" ht="18.75" customHeight="1">
      <c r="B238" s="173">
        <v>293</v>
      </c>
      <c s="352" t="s">
        <v>309</v>
      </c>
      <c s="352"/>
      <c s="173">
        <v>90</v>
      </c>
      <c s="173">
        <v>19</v>
      </c>
      <c s="173">
        <v>10.869999999999999</v>
      </c>
      <c s="173">
        <v>0.17000000000000001</v>
      </c>
      <c s="173">
        <v>174.53</v>
      </c>
      <c s="173">
        <v>0.089999999999999997</v>
      </c>
      <c s="173">
        <v>0.17000000000000001</v>
      </c>
      <c s="173">
        <v>0.02</v>
      </c>
      <c s="173">
        <v>0</v>
      </c>
      <c s="173">
        <v>0</v>
      </c>
      <c s="173">
        <v>19.5</v>
      </c>
      <c s="173">
        <v>1.6000000000000001</v>
      </c>
      <c s="173">
        <v>0</v>
      </c>
      <c s="173">
        <v>0</v>
      </c>
      <c s="173">
        <v>17.079999999999998</v>
      </c>
      <c s="173">
        <v>1.8600000000000001</v>
      </c>
    </row>
    <row r="239" spans="2:20" ht="15">
      <c r="B239" s="173">
        <v>139</v>
      </c>
      <c s="352" t="s">
        <v>310</v>
      </c>
      <c s="352"/>
      <c s="173">
        <v>150</v>
      </c>
      <c s="173">
        <v>2.77</v>
      </c>
      <c s="173">
        <v>4.8399999999999999</v>
      </c>
      <c s="173">
        <v>10.779999999999999</v>
      </c>
      <c s="173">
        <v>97.760000000000005</v>
      </c>
      <c s="173">
        <v>0.64000000000000001</v>
      </c>
      <c s="173">
        <v>0.13</v>
      </c>
      <c s="173">
        <v>0.16</v>
      </c>
      <c s="173">
        <v>0.025000000000000001</v>
      </c>
      <c s="173">
        <v>0.01</v>
      </c>
      <c s="173">
        <v>73.049999999999997</v>
      </c>
      <c s="173">
        <v>54</v>
      </c>
      <c s="173">
        <v>3.5</v>
      </c>
      <c s="173">
        <v>0.017000000000000001</v>
      </c>
      <c s="173">
        <v>27.75</v>
      </c>
      <c s="173">
        <v>1.0900000000000001</v>
      </c>
    </row>
    <row r="240" spans="2:20" ht="30" customHeight="1">
      <c r="B240" s="173">
        <v>349</v>
      </c>
      <c s="352" t="s">
        <v>311</v>
      </c>
      <c s="352"/>
      <c s="173">
        <v>200</v>
      </c>
      <c s="173">
        <v>0.22</v>
      </c>
      <c s="173"/>
      <c s="173">
        <v>24.420000000000002</v>
      </c>
      <c s="173">
        <v>98.560000000000002</v>
      </c>
      <c s="173"/>
      <c s="173"/>
      <c s="173">
        <v>0.20000000000000001</v>
      </c>
      <c s="173"/>
      <c s="173"/>
      <c s="173">
        <v>22.600000000000001</v>
      </c>
      <c s="173">
        <v>7.7000000000000002</v>
      </c>
      <c s="173">
        <v>0</v>
      </c>
      <c s="173">
        <v>0</v>
      </c>
      <c s="173">
        <v>3</v>
      </c>
      <c s="173">
        <v>0.66000000000000003</v>
      </c>
    </row>
    <row r="241" spans="2:20" ht="19.5" customHeight="1">
      <c r="B241" s="173" t="s">
        <v>224</v>
      </c>
      <c s="352" t="s">
        <v>235</v>
      </c>
      <c s="352"/>
      <c s="173">
        <v>40</v>
      </c>
      <c s="173">
        <v>2.6400000000000001</v>
      </c>
      <c s="173">
        <v>0.47999999999999998</v>
      </c>
      <c s="173">
        <v>13.68</v>
      </c>
      <c s="173">
        <v>69.599999999999994</v>
      </c>
      <c s="173">
        <v>0.080000000000000002</v>
      </c>
      <c s="173">
        <v>0.040000000000000001</v>
      </c>
      <c s="173">
        <v>0</v>
      </c>
      <c s="173">
        <v>0</v>
      </c>
      <c s="173">
        <v>2.3999999999999999</v>
      </c>
      <c s="173">
        <v>14</v>
      </c>
      <c s="173">
        <v>63.200000000000003</v>
      </c>
      <c s="173">
        <v>1.2</v>
      </c>
      <c s="173">
        <v>0.001</v>
      </c>
      <c s="173">
        <v>9.4000000000000004</v>
      </c>
      <c s="173">
        <v>0.78000000000000003</v>
      </c>
    </row>
    <row r="242" spans="2:20" ht="15">
      <c r="B242" s="173" t="s">
        <v>224</v>
      </c>
      <c s="352" t="s">
        <v>117</v>
      </c>
      <c s="352"/>
      <c s="173">
        <v>30</v>
      </c>
      <c s="173">
        <v>1.52</v>
      </c>
      <c s="173">
        <v>0.16</v>
      </c>
      <c s="173">
        <v>9.8399999999999999</v>
      </c>
      <c s="173">
        <v>46.899999999999999</v>
      </c>
      <c s="173">
        <v>0.02</v>
      </c>
      <c s="173">
        <v>0.01</v>
      </c>
      <c s="173">
        <v>0.44</v>
      </c>
      <c s="173">
        <v>0</v>
      </c>
      <c s="173">
        <v>0.69999999999999996</v>
      </c>
      <c s="173">
        <v>4</v>
      </c>
      <c s="173">
        <v>13</v>
      </c>
      <c s="173">
        <v>0.0080000000000000002</v>
      </c>
      <c s="173">
        <v>0.001</v>
      </c>
      <c s="173">
        <v>0</v>
      </c>
      <c s="173">
        <v>0.22</v>
      </c>
    </row>
    <row r="243" spans="2:20" ht="27" customHeight="1">
      <c r="B243" s="353" t="s">
        <v>236</v>
      </c>
      <c s="353"/>
      <c s="353"/>
      <c s="190">
        <f>E236+E238+E239+E240+E241+E242+210</f>
        <v>780</v>
      </c>
      <c s="190">
        <f>SUM(F236:F242)</f>
        <v>33.859999999999999</v>
      </c>
      <c s="190">
        <f t="shared" si="57" ref="G243:T243">SUM(G236:G242)</f>
        <v>27</v>
      </c>
      <c s="190">
        <f t="shared" si="57"/>
        <v>82.260000000000005</v>
      </c>
      <c s="190">
        <f t="shared" si="57"/>
        <v>707.50999999999999</v>
      </c>
      <c s="190">
        <f t="shared" si="57"/>
        <v>1.04</v>
      </c>
      <c s="190">
        <f t="shared" si="57"/>
        <v>0.56000000000000005</v>
      </c>
      <c s="190">
        <f t="shared" si="57"/>
        <v>12.969999999999999</v>
      </c>
      <c s="190">
        <f t="shared" si="57"/>
        <v>0.875</v>
      </c>
      <c s="190">
        <f t="shared" si="57"/>
        <v>3.4100000000000001</v>
      </c>
      <c s="190">
        <f t="shared" si="57"/>
        <v>187.97999999999999</v>
      </c>
      <c s="190">
        <f t="shared" si="57"/>
        <v>239.47999999999996</v>
      </c>
      <c s="190">
        <f t="shared" si="57"/>
        <v>4.8079999999999998</v>
      </c>
      <c s="190">
        <f t="shared" si="57"/>
        <v>0.019000000000000003</v>
      </c>
      <c s="190">
        <f t="shared" si="57"/>
        <v>84.540000000000006</v>
      </c>
      <c s="190">
        <f t="shared" si="57"/>
        <v>6.1299999999999999</v>
      </c>
    </row>
    <row r="244" spans="2:20" ht="18" customHeight="1">
      <c r="B244" s="353" t="s">
        <v>226</v>
      </c>
      <c s="353"/>
      <c s="353"/>
      <c s="353"/>
      <c s="191">
        <f>F243/F251</f>
        <v>0.43974025974025971</v>
      </c>
      <c s="191">
        <v>0.33900000000000002</v>
      </c>
      <c s="191">
        <v>0.252</v>
      </c>
      <c s="191">
        <v>0.30499999999999999</v>
      </c>
      <c s="191">
        <v>0.876</v>
      </c>
      <c s="191">
        <v>0.39500000000000002</v>
      </c>
      <c s="191">
        <v>0.22700000000000001</v>
      </c>
      <c s="192">
        <v>2.2639999999999998</v>
      </c>
      <c s="191">
        <v>0.36099999999999999</v>
      </c>
      <c s="191">
        <v>0.17399999999999999</v>
      </c>
      <c s="191">
        <v>0.22700000000000001</v>
      </c>
      <c s="191">
        <v>0.48199999999999998</v>
      </c>
      <c s="191">
        <v>0.59999999999999998</v>
      </c>
      <c s="191">
        <v>0.34899999999999998</v>
      </c>
      <c s="191">
        <v>0.52500000000000002</v>
      </c>
    </row>
    <row r="245" spans="2:20" ht="15">
      <c r="B245" s="353" t="s">
        <v>237</v>
      </c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</row>
    <row r="246" spans="2:20" ht="19.5" customHeight="1">
      <c r="B246" s="177" t="s">
        <v>224</v>
      </c>
      <c s="345" t="s">
        <v>238</v>
      </c>
      <c s="345"/>
      <c s="177">
        <v>100</v>
      </c>
      <c s="177">
        <v>7.8600000000000003</v>
      </c>
      <c s="177">
        <v>5.5700000000000003</v>
      </c>
      <c s="177">
        <v>53.710000000000001</v>
      </c>
      <c s="177">
        <v>297.13999999999999</v>
      </c>
      <c s="177">
        <v>0.10000000000000001</v>
      </c>
      <c s="177">
        <v>0.040000000000000001</v>
      </c>
      <c s="177">
        <v>0</v>
      </c>
      <c s="177">
        <v>0.10000000000000001</v>
      </c>
      <c s="177"/>
      <c s="177">
        <v>16.170000000000002</v>
      </c>
      <c s="177">
        <v>0</v>
      </c>
      <c s="177">
        <v>0</v>
      </c>
      <c s="177">
        <v>0</v>
      </c>
      <c s="177">
        <v>11.19</v>
      </c>
      <c s="177">
        <v>0.90000000000000002</v>
      </c>
    </row>
    <row r="247" spans="2:20" ht="25.5" customHeight="1">
      <c r="B247" s="177">
        <v>349</v>
      </c>
      <c s="345" t="s">
        <v>239</v>
      </c>
      <c s="345"/>
      <c s="177">
        <v>200</v>
      </c>
      <c s="177">
        <v>0.22</v>
      </c>
      <c s="177">
        <v>0</v>
      </c>
      <c s="177">
        <v>24.420000000000002</v>
      </c>
      <c s="177">
        <v>98.560000000000002</v>
      </c>
      <c s="177"/>
      <c s="177"/>
      <c s="177">
        <v>0.20000000000000001</v>
      </c>
      <c s="177"/>
      <c s="177"/>
      <c s="177">
        <v>22.600000000000001</v>
      </c>
      <c s="177">
        <v>7.7000000000000002</v>
      </c>
      <c s="177">
        <v>0</v>
      </c>
      <c s="177">
        <v>0</v>
      </c>
      <c s="177">
        <v>3</v>
      </c>
      <c s="177">
        <v>0.66000000000000003</v>
      </c>
    </row>
    <row r="248" spans="2:20" ht="18" customHeight="1">
      <c r="B248" s="349" t="s">
        <v>240</v>
      </c>
      <c s="350"/>
      <c s="351"/>
      <c s="178">
        <f>E246+E247</f>
        <v>300</v>
      </c>
      <c s="178">
        <f t="shared" si="58" ref="F248:T248">F246+F247</f>
        <v>8.0800000000000001</v>
      </c>
      <c s="178">
        <f t="shared" si="58"/>
        <v>5.5700000000000003</v>
      </c>
      <c s="178">
        <f t="shared" si="58"/>
        <v>78.129999999999995</v>
      </c>
      <c s="178">
        <f t="shared" si="58"/>
        <v>395.69999999999999</v>
      </c>
      <c s="178">
        <f t="shared" si="58"/>
        <v>0.10000000000000001</v>
      </c>
      <c s="178">
        <f t="shared" si="58"/>
        <v>0.040000000000000001</v>
      </c>
      <c s="178">
        <f t="shared" si="58"/>
        <v>0.20000000000000001</v>
      </c>
      <c s="178">
        <f t="shared" si="58"/>
        <v>0.10000000000000001</v>
      </c>
      <c s="178">
        <f t="shared" si="58"/>
        <v>0</v>
      </c>
      <c s="178">
        <f t="shared" si="58"/>
        <v>38.770000000000003</v>
      </c>
      <c s="178">
        <f t="shared" si="58"/>
        <v>7.7000000000000002</v>
      </c>
      <c s="178">
        <f t="shared" si="58"/>
        <v>0</v>
      </c>
      <c s="178">
        <f t="shared" si="58"/>
        <v>0</v>
      </c>
      <c s="178">
        <f t="shared" si="58"/>
        <v>14.19</v>
      </c>
      <c s="178">
        <f t="shared" si="58"/>
        <v>1.5600000000000001</v>
      </c>
    </row>
    <row r="249" spans="2:20" ht="15">
      <c r="B249" s="353" t="s">
        <v>226</v>
      </c>
      <c s="353"/>
      <c s="353"/>
      <c s="353"/>
      <c s="191">
        <f>F248/F251</f>
        <v>0.10493506493506494</v>
      </c>
      <c s="191">
        <f t="shared" si="59" ref="G249:T249">G248/G251</f>
        <v>0.070506329113924057</v>
      </c>
      <c s="191">
        <f t="shared" si="59"/>
        <v>0.2332238805970149</v>
      </c>
      <c s="191">
        <f t="shared" si="59"/>
        <v>0.16838297872340424</v>
      </c>
      <c s="191">
        <f t="shared" si="59"/>
        <v>0.083333333333333343</v>
      </c>
      <c s="191">
        <f t="shared" si="59"/>
        <v>0.028571428571428574</v>
      </c>
      <c s="191">
        <f t="shared" si="59"/>
        <v>0.0033333333333333335</v>
      </c>
      <c s="191">
        <f t="shared" si="59"/>
        <v>0.14285714285714288</v>
      </c>
      <c s="191">
        <f t="shared" si="59"/>
        <v>0</v>
      </c>
      <c s="191">
        <f t="shared" si="59"/>
        <v>0.035245454545454545</v>
      </c>
      <c s="191">
        <f t="shared" si="59"/>
        <v>0.0070000000000000001</v>
      </c>
      <c s="191">
        <f t="shared" si="59"/>
        <v>0</v>
      </c>
      <c s="191">
        <f t="shared" si="59"/>
        <v>0</v>
      </c>
      <c s="191">
        <f t="shared" si="59"/>
        <v>0.056759999999999998</v>
      </c>
      <c s="191">
        <f t="shared" si="59"/>
        <v>0.13</v>
      </c>
    </row>
    <row r="250" spans="2:20" ht="15">
      <c r="B250" s="353" t="s">
        <v>241</v>
      </c>
      <c s="353"/>
      <c s="353"/>
      <c s="353"/>
      <c s="190">
        <f>F248+F243+F233</f>
        <v>58.909999999999997</v>
      </c>
      <c s="190">
        <f t="shared" si="60" ref="G250:T250">G248+G243+G233</f>
        <v>48.509999999999998</v>
      </c>
      <c s="190">
        <f t="shared" si="60"/>
        <v>228.42999999999998</v>
      </c>
      <c s="190">
        <f t="shared" si="60"/>
        <v>1574.04</v>
      </c>
      <c s="190">
        <f t="shared" si="60"/>
        <v>1.3390000000000002</v>
      </c>
      <c s="190">
        <f t="shared" si="60"/>
        <v>0.73000000000000009</v>
      </c>
      <c s="190">
        <f t="shared" si="60"/>
        <v>29.539999999999999</v>
      </c>
      <c s="190">
        <f t="shared" si="60"/>
        <v>1.0650999999999999</v>
      </c>
      <c s="190">
        <f t="shared" si="60"/>
        <v>4.1850000000000005</v>
      </c>
      <c s="190">
        <f t="shared" si="60"/>
        <v>383.30000000000001</v>
      </c>
      <c s="190">
        <f t="shared" si="60"/>
        <v>568.41999999999996</v>
      </c>
      <c s="190">
        <f t="shared" si="60"/>
        <v>4.8879999999999999</v>
      </c>
      <c s="190">
        <f t="shared" si="60"/>
        <v>0.023000000000000003</v>
      </c>
      <c s="190">
        <f t="shared" si="60"/>
        <v>174.13</v>
      </c>
      <c s="190">
        <f t="shared" si="60"/>
        <v>10.92</v>
      </c>
    </row>
    <row r="251" spans="2:20" ht="15">
      <c r="B251" s="353" t="s">
        <v>242</v>
      </c>
      <c s="353"/>
      <c s="353"/>
      <c s="353"/>
      <c s="173">
        <v>77</v>
      </c>
      <c s="173">
        <v>79</v>
      </c>
      <c s="173">
        <v>335</v>
      </c>
      <c s="173">
        <v>2350</v>
      </c>
      <c s="173">
        <v>1.2</v>
      </c>
      <c s="173">
        <v>1.3999999999999999</v>
      </c>
      <c s="173">
        <v>60</v>
      </c>
      <c s="173">
        <v>0.69999999999999996</v>
      </c>
      <c s="173">
        <v>10</v>
      </c>
      <c s="173">
        <v>1100</v>
      </c>
      <c s="173">
        <v>1100</v>
      </c>
      <c s="173">
        <v>10</v>
      </c>
      <c s="173">
        <v>0.10000000000000001</v>
      </c>
      <c s="173">
        <v>250</v>
      </c>
      <c s="173">
        <v>12</v>
      </c>
    </row>
    <row r="252" spans="2:20" ht="15">
      <c r="B252" s="353" t="s">
        <v>226</v>
      </c>
      <c s="353"/>
      <c s="353"/>
      <c s="353"/>
      <c s="191">
        <f>F250/F251</f>
        <v>0.765064935064935</v>
      </c>
      <c s="191">
        <f t="shared" si="61" ref="G252:T252">G250/G251</f>
        <v>0.61405063291139239</v>
      </c>
      <c s="191">
        <f t="shared" si="61"/>
        <v>0.68188059701492532</v>
      </c>
      <c s="191">
        <f t="shared" si="61"/>
        <v>0.66980425531914889</v>
      </c>
      <c s="191">
        <f t="shared" si="61"/>
        <v>1.1158333333333335</v>
      </c>
      <c s="191">
        <f t="shared" si="61"/>
        <v>0.52142857142857157</v>
      </c>
      <c s="191">
        <f t="shared" si="61"/>
        <v>0.49233333333333335</v>
      </c>
      <c s="191">
        <f t="shared" si="61"/>
        <v>1.5215714285714286</v>
      </c>
      <c s="191">
        <f t="shared" si="61"/>
        <v>0.41850000000000004</v>
      </c>
      <c s="191">
        <f t="shared" si="61"/>
        <v>0.34845454545454546</v>
      </c>
      <c s="191">
        <f t="shared" si="61"/>
        <v>0.51674545454545451</v>
      </c>
      <c s="191">
        <f t="shared" si="61"/>
        <v>0.48880000000000001</v>
      </c>
      <c s="191">
        <f t="shared" si="61"/>
        <v>0.23000000000000001</v>
      </c>
      <c s="191">
        <f t="shared" si="61"/>
        <v>0.69652000000000003</v>
      </c>
      <c s="191">
        <f t="shared" si="61"/>
        <v>0.91000000000000003</v>
      </c>
    </row>
    <row r="253" spans="2:20" ht="15">
      <c r="B253" s="356"/>
      <c s="356"/>
      <c s="356"/>
      <c s="356"/>
      <c s="356"/>
      <c s="356"/>
      <c s="356"/>
      <c s="356"/>
      <c s="173"/>
      <c s="173"/>
      <c s="173"/>
      <c s="356" t="s">
        <v>187</v>
      </c>
      <c s="356"/>
      <c s="356"/>
      <c s="356"/>
      <c s="356"/>
      <c s="356"/>
      <c s="356"/>
      <c s="356"/>
    </row>
    <row r="254" spans="2:20" ht="15">
      <c r="B254" s="173"/>
      <c s="173"/>
      <c s="190"/>
      <c s="190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</row>
    <row r="255" spans="2:20" ht="15">
      <c r="B255" s="353" t="s">
        <v>312</v>
      </c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</row>
    <row r="256" spans="2:20" ht="15">
      <c r="B256" s="353" t="s">
        <v>261</v>
      </c>
      <c s="353"/>
      <c s="173"/>
      <c s="173"/>
      <c s="173"/>
      <c s="356" t="s">
        <v>262</v>
      </c>
      <c s="356"/>
      <c s="356"/>
      <c s="173"/>
      <c s="173"/>
      <c s="353" t="s">
        <v>191</v>
      </c>
      <c s="353"/>
      <c s="356" t="s">
        <v>192</v>
      </c>
      <c s="356"/>
      <c s="356"/>
      <c s="356"/>
      <c s="173"/>
      <c s="173"/>
      <c s="173"/>
    </row>
    <row r="257" spans="2:20" ht="15">
      <c r="B257" s="173"/>
      <c s="173"/>
      <c s="173"/>
      <c s="353" t="s">
        <v>194</v>
      </c>
      <c s="353"/>
      <c s="173">
        <v>2</v>
      </c>
      <c s="173"/>
      <c s="173"/>
      <c s="173"/>
      <c s="173"/>
      <c s="353" t="s">
        <v>195</v>
      </c>
      <c s="353"/>
      <c s="356" t="s">
        <v>196</v>
      </c>
      <c s="356"/>
      <c s="356"/>
      <c s="356"/>
      <c s="356"/>
      <c s="356"/>
      <c s="356"/>
    </row>
    <row r="258" spans="2:20" ht="15">
      <c r="B258" s="174" t="s">
        <v>0</v>
      </c>
      <c s="354" t="s">
        <v>198</v>
      </c>
      <c s="354"/>
      <c s="354" t="s">
        <v>199</v>
      </c>
      <c s="354" t="s">
        <v>200</v>
      </c>
      <c s="354"/>
      <c s="354"/>
      <c s="174" t="s">
        <v>201</v>
      </c>
      <c s="354" t="s">
        <v>202</v>
      </c>
      <c s="354"/>
      <c s="354"/>
      <c s="354"/>
      <c s="354"/>
      <c s="354" t="s">
        <v>203</v>
      </c>
      <c s="354"/>
      <c s="354"/>
      <c s="354"/>
      <c s="354"/>
      <c s="354"/>
    </row>
    <row r="259" spans="2:20" ht="51">
      <c r="B259" s="174" t="s">
        <v>245</v>
      </c>
      <c s="354"/>
      <c s="354"/>
      <c s="354"/>
      <c s="174" t="s">
        <v>204</v>
      </c>
      <c s="174" t="s">
        <v>205</v>
      </c>
      <c s="174" t="s">
        <v>206</v>
      </c>
      <c s="174" t="s">
        <v>207</v>
      </c>
      <c s="174" t="s">
        <v>208</v>
      </c>
      <c s="174" t="s">
        <v>209</v>
      </c>
      <c s="174" t="s">
        <v>210</v>
      </c>
      <c s="174" t="s">
        <v>211</v>
      </c>
      <c s="174" t="s">
        <v>212</v>
      </c>
      <c s="174" t="s">
        <v>213</v>
      </c>
      <c s="174" t="s">
        <v>214</v>
      </c>
      <c s="174" t="s">
        <v>215</v>
      </c>
      <c s="174" t="s">
        <v>216</v>
      </c>
      <c s="174" t="s">
        <v>217</v>
      </c>
      <c s="174" t="s">
        <v>218</v>
      </c>
    </row>
    <row r="260" spans="2:20" ht="15">
      <c r="B260" s="175">
        <v>1</v>
      </c>
      <c s="355">
        <v>2</v>
      </c>
      <c s="355"/>
      <c s="175">
        <v>3</v>
      </c>
      <c s="175">
        <v>4</v>
      </c>
      <c s="175">
        <v>5</v>
      </c>
      <c s="175">
        <v>6</v>
      </c>
      <c s="175">
        <v>7</v>
      </c>
      <c s="175">
        <v>8</v>
      </c>
      <c s="175">
        <v>9</v>
      </c>
      <c s="175">
        <v>10</v>
      </c>
      <c s="175">
        <v>11</v>
      </c>
      <c s="175">
        <v>12</v>
      </c>
      <c s="175">
        <v>13</v>
      </c>
      <c s="175">
        <v>14</v>
      </c>
      <c s="175">
        <v>15</v>
      </c>
      <c s="175">
        <v>16</v>
      </c>
      <c s="175">
        <v>17</v>
      </c>
      <c s="175">
        <v>18</v>
      </c>
    </row>
    <row r="261" spans="2:20" ht="15">
      <c r="B261" s="353" t="s">
        <v>219</v>
      </c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</row>
    <row r="262" spans="2:20" ht="17.25" customHeight="1">
      <c r="B262" s="189" t="s">
        <v>264</v>
      </c>
      <c s="359" t="s">
        <v>265</v>
      </c>
      <c s="359"/>
      <c s="173">
        <v>30</v>
      </c>
      <c s="173">
        <v>0.14999999999999999</v>
      </c>
      <c s="173">
        <v>0</v>
      </c>
      <c s="173">
        <v>17.850000000000001</v>
      </c>
      <c s="173">
        <v>71.700000000000003</v>
      </c>
      <c s="173"/>
      <c s="173"/>
      <c s="173"/>
      <c s="173"/>
      <c s="173"/>
      <c s="173"/>
      <c s="173"/>
      <c s="173"/>
      <c s="173"/>
      <c s="173"/>
      <c s="173"/>
    </row>
    <row r="263" spans="2:20" s="176" customFormat="1" ht="30" customHeight="1">
      <c r="B263" s="177">
        <v>222</v>
      </c>
      <c s="345" t="s">
        <v>181</v>
      </c>
      <c s="345"/>
      <c s="177">
        <v>170</v>
      </c>
      <c s="177">
        <v>15.23</v>
      </c>
      <c s="177">
        <v>17.5</v>
      </c>
      <c s="177">
        <v>36.700000000000003</v>
      </c>
      <c s="177">
        <v>355.89999999999998</v>
      </c>
      <c s="177">
        <v>0.089999999999999997</v>
      </c>
      <c s="177">
        <v>0.29999999999999999</v>
      </c>
      <c s="177">
        <v>0.47999999999999998</v>
      </c>
      <c s="177">
        <v>0.22</v>
      </c>
      <c s="177">
        <v>1.8</v>
      </c>
      <c s="177">
        <v>143.69999999999999</v>
      </c>
      <c s="177">
        <v>290.60000000000002</v>
      </c>
      <c s="177">
        <v>2.2000000000000002</v>
      </c>
      <c s="177">
        <v>0.0080000000000000002</v>
      </c>
      <c s="177">
        <v>48.509999999999998</v>
      </c>
      <c s="177">
        <v>1.3100000000000001</v>
      </c>
    </row>
    <row r="264" spans="2:20" ht="15.75" customHeight="1">
      <c r="B264" s="173">
        <v>376</v>
      </c>
      <c s="352" t="s">
        <v>141</v>
      </c>
      <c s="352"/>
      <c s="173">
        <v>200</v>
      </c>
      <c s="173">
        <v>0.20000000000000001</v>
      </c>
      <c s="173">
        <v>0.050000000000000003</v>
      </c>
      <c s="173">
        <v>15.01</v>
      </c>
      <c s="173">
        <v>61</v>
      </c>
      <c s="173">
        <v>0</v>
      </c>
      <c s="173">
        <v>0.01</v>
      </c>
      <c s="173">
        <v>9</v>
      </c>
      <c s="173">
        <v>0.0001</v>
      </c>
      <c s="173">
        <v>0.044999999999999998</v>
      </c>
      <c s="173">
        <v>5.25</v>
      </c>
      <c s="173">
        <v>8.2400000000000002</v>
      </c>
      <c s="173">
        <v>0.0080000000000000002</v>
      </c>
      <c s="173">
        <v>0</v>
      </c>
      <c s="173">
        <v>4.4000000000000004</v>
      </c>
      <c s="173">
        <v>0.87</v>
      </c>
    </row>
    <row r="265" spans="2:20" ht="18" customHeight="1">
      <c r="B265" s="173" t="s">
        <v>224</v>
      </c>
      <c s="352" t="s">
        <v>302</v>
      </c>
      <c s="352"/>
      <c s="173">
        <v>40</v>
      </c>
      <c s="173">
        <v>2.6699999999999999</v>
      </c>
      <c s="173">
        <v>0.53000000000000003</v>
      </c>
      <c s="173">
        <v>13.73</v>
      </c>
      <c s="173">
        <v>70.400000000000006</v>
      </c>
      <c s="173">
        <v>0.13</v>
      </c>
      <c s="173">
        <v>0.012999999999999999</v>
      </c>
      <c s="173">
        <v>0.10000000000000001</v>
      </c>
      <c s="173">
        <v>0</v>
      </c>
      <c s="173">
        <v>0.93000000000000005</v>
      </c>
      <c s="173">
        <v>14</v>
      </c>
      <c s="173">
        <v>63.200000000000003</v>
      </c>
      <c s="173">
        <v>0.012999999999999999</v>
      </c>
      <c s="173">
        <v>0.012999999999999999</v>
      </c>
      <c s="173">
        <v>18.800000000000001</v>
      </c>
      <c s="173">
        <v>1.6000000000000001</v>
      </c>
    </row>
    <row r="266" spans="2:20" ht="15">
      <c r="B266" s="353" t="s">
        <v>225</v>
      </c>
      <c s="353"/>
      <c s="353"/>
      <c s="190">
        <f t="shared" si="62" ref="E266:T266">SUM(E262:E265)</f>
        <v>440</v>
      </c>
      <c s="190">
        <f t="shared" si="62"/>
        <v>18.25</v>
      </c>
      <c s="190">
        <f t="shared" si="62"/>
        <v>18.080000000000002</v>
      </c>
      <c s="190">
        <f t="shared" si="62"/>
        <v>83.290000000000006</v>
      </c>
      <c s="190">
        <f t="shared" si="62"/>
        <v>559</v>
      </c>
      <c s="190">
        <f t="shared" si="62"/>
        <v>0.22</v>
      </c>
      <c s="190">
        <f t="shared" si="62"/>
        <v>0.32300000000000001</v>
      </c>
      <c s="190">
        <f t="shared" si="62"/>
        <v>9.5800000000000001</v>
      </c>
      <c s="190">
        <f t="shared" si="62"/>
        <v>0.22009999999999999</v>
      </c>
      <c s="190">
        <f t="shared" si="62"/>
        <v>2.7749999999999999</v>
      </c>
      <c s="190">
        <f t="shared" si="62"/>
        <v>162.94999999999999</v>
      </c>
      <c s="190">
        <f t="shared" si="62"/>
        <v>362.04000000000002</v>
      </c>
      <c s="190">
        <f t="shared" si="62"/>
        <v>2.2210000000000001</v>
      </c>
      <c s="190">
        <f t="shared" si="62"/>
        <v>0.020999999999999998</v>
      </c>
      <c s="190">
        <f t="shared" si="62"/>
        <v>71.709999999999994</v>
      </c>
      <c s="190">
        <f t="shared" si="62"/>
        <v>3.7800000000000002</v>
      </c>
    </row>
    <row r="267" spans="2:20" ht="15">
      <c r="B267" s="353" t="s">
        <v>226</v>
      </c>
      <c s="353"/>
      <c s="353"/>
      <c s="353"/>
      <c s="191">
        <f t="shared" si="63" ref="F267:T267">F266/F284</f>
        <v>0.23701298701298701</v>
      </c>
      <c s="191">
        <f t="shared" si="63"/>
        <v>0.22886075949367091</v>
      </c>
      <c s="191">
        <f t="shared" si="63"/>
        <v>0.2486268656716418</v>
      </c>
      <c s="191">
        <f t="shared" si="63"/>
        <v>0.2378723404255319</v>
      </c>
      <c s="191">
        <f t="shared" si="63"/>
        <v>0.18333333333333335</v>
      </c>
      <c s="191">
        <f t="shared" si="63"/>
        <v>0.23071428571428573</v>
      </c>
      <c s="191">
        <f t="shared" si="63"/>
        <v>0.15966666666666668</v>
      </c>
      <c s="192">
        <f t="shared" si="63"/>
        <v>0.31442857142857145</v>
      </c>
      <c s="191">
        <f t="shared" si="63"/>
        <v>0.27749999999999997</v>
      </c>
      <c s="191">
        <f t="shared" si="63"/>
        <v>0.14813636363636362</v>
      </c>
      <c s="191">
        <f t="shared" si="63"/>
        <v>0.32912727272727277</v>
      </c>
      <c s="191">
        <f t="shared" si="63"/>
        <v>0.22210000000000002</v>
      </c>
      <c s="191">
        <f t="shared" si="63"/>
        <v>0.20999999999999996</v>
      </c>
      <c s="191">
        <f t="shared" si="63"/>
        <v>0.28683999999999998</v>
      </c>
      <c s="191">
        <f t="shared" si="63"/>
        <v>0.315</v>
      </c>
    </row>
    <row r="268" spans="2:20" ht="15">
      <c r="B268" s="353" t="s">
        <v>227</v>
      </c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</row>
    <row r="269" spans="2:20" s="197" customFormat="1" ht="16.5" customHeight="1">
      <c r="B269" s="173" t="s">
        <v>313</v>
      </c>
      <c s="352" t="s">
        <v>314</v>
      </c>
      <c s="352"/>
      <c s="173">
        <v>60</v>
      </c>
      <c s="173">
        <v>0.76000000000000001</v>
      </c>
      <c s="173">
        <v>1.73</v>
      </c>
      <c s="173">
        <v>4.2599999999999998</v>
      </c>
      <c s="173">
        <v>34.170000000000002</v>
      </c>
      <c s="173">
        <v>0.029999999999999999</v>
      </c>
      <c s="173">
        <v>0</v>
      </c>
      <c s="173">
        <v>2.4100000000000001</v>
      </c>
      <c s="173">
        <v>0.029999999999999999</v>
      </c>
      <c s="173"/>
      <c s="173">
        <v>18.489999999999998</v>
      </c>
      <c s="173">
        <v>31.359999999999999</v>
      </c>
      <c s="173"/>
      <c s="173">
        <v>0</v>
      </c>
      <c s="173">
        <v>20.5</v>
      </c>
      <c s="173">
        <v>0.040000000000000001</v>
      </c>
    </row>
    <row r="270" spans="2:20" ht="19.5" customHeight="1">
      <c r="B270" s="173">
        <v>71</v>
      </c>
      <c s="352" t="s">
        <v>173</v>
      </c>
      <c s="352"/>
      <c s="173">
        <v>60</v>
      </c>
      <c s="173">
        <v>0.59999999999999998</v>
      </c>
      <c s="173">
        <v>2.7000000000000002</v>
      </c>
      <c s="173">
        <v>8.6999999999999993</v>
      </c>
      <c s="173">
        <v>60</v>
      </c>
      <c s="173">
        <v>0.01</v>
      </c>
      <c s="173">
        <v>0.02</v>
      </c>
      <c s="173">
        <v>2.2999999999999998</v>
      </c>
      <c s="173">
        <v>0.01</v>
      </c>
      <c s="173"/>
      <c s="173">
        <v>12.289999999999999</v>
      </c>
      <c s="173">
        <v>0</v>
      </c>
      <c s="173"/>
      <c s="173">
        <v>0</v>
      </c>
      <c s="173">
        <v>7.0199999999999996</v>
      </c>
      <c s="173">
        <v>0.32000000000000001</v>
      </c>
    </row>
    <row r="271" spans="2:20" ht="18.75" customHeight="1">
      <c r="B271" s="173" t="s">
        <v>289</v>
      </c>
      <c s="352" t="s">
        <v>315</v>
      </c>
      <c s="352"/>
      <c s="173">
        <v>200</v>
      </c>
      <c s="173">
        <v>2.1000000000000001</v>
      </c>
      <c s="173">
        <v>2.1000000000000001</v>
      </c>
      <c s="173">
        <v>15.5</v>
      </c>
      <c s="173">
        <v>90</v>
      </c>
      <c s="173">
        <v>0.080000000000000002</v>
      </c>
      <c s="173">
        <v>0.040000000000000001</v>
      </c>
      <c s="173">
        <v>5.5999999999999996</v>
      </c>
      <c s="173">
        <v>0.080000000000000002</v>
      </c>
      <c s="173"/>
      <c s="173">
        <v>12.640000000000001</v>
      </c>
      <c s="173">
        <v>0</v>
      </c>
      <c s="173"/>
      <c s="173">
        <v>0</v>
      </c>
      <c s="173">
        <v>19.199999999999999</v>
      </c>
      <c s="173">
        <v>0.71999999999999997</v>
      </c>
    </row>
    <row r="272" spans="2:20" ht="18.75" customHeight="1">
      <c r="B272" s="173">
        <v>259</v>
      </c>
      <c s="352" t="s">
        <v>316</v>
      </c>
      <c s="352"/>
      <c s="173">
        <v>240</v>
      </c>
      <c s="173">
        <v>22.219999999999999</v>
      </c>
      <c s="173">
        <v>24.82</v>
      </c>
      <c s="173">
        <v>22.73</v>
      </c>
      <c s="173">
        <v>404.56999999999999</v>
      </c>
      <c s="173">
        <v>0.17000000000000001</v>
      </c>
      <c s="173">
        <v>0.23999999999999999</v>
      </c>
      <c s="173">
        <v>9.2599999999999998</v>
      </c>
      <c s="173">
        <v>0.17000000000000001</v>
      </c>
      <c s="173"/>
      <c s="173">
        <v>41.829999999999998</v>
      </c>
      <c s="173">
        <v>282.17000000000002</v>
      </c>
      <c s="173"/>
      <c s="173">
        <v>0</v>
      </c>
      <c s="173">
        <v>58.25</v>
      </c>
      <c s="173">
        <v>5.2999999999999998</v>
      </c>
    </row>
    <row r="273" spans="2:20" ht="15">
      <c r="B273" s="173">
        <v>377</v>
      </c>
      <c s="352" t="s">
        <v>149</v>
      </c>
      <c s="352"/>
      <c s="173" t="s">
        <v>234</v>
      </c>
      <c s="173">
        <v>0.26000000000000001</v>
      </c>
      <c s="173">
        <v>0.059999999999999998</v>
      </c>
      <c s="173">
        <v>15.220000000000001</v>
      </c>
      <c s="173">
        <v>62.5</v>
      </c>
      <c s="173"/>
      <c s="173">
        <v>0.01</v>
      </c>
      <c s="173">
        <v>2.8999999999999999</v>
      </c>
      <c s="173">
        <v>0</v>
      </c>
      <c s="173">
        <v>0.059999999999999998</v>
      </c>
      <c s="173">
        <v>8.0500000000000007</v>
      </c>
      <c s="173">
        <v>9.7799999999999994</v>
      </c>
      <c s="173">
        <v>0.017000000000000001</v>
      </c>
      <c s="173">
        <v>0</v>
      </c>
      <c s="173">
        <v>5.2400000000000002</v>
      </c>
      <c s="173">
        <v>0.87</v>
      </c>
    </row>
    <row r="274" spans="2:20" ht="18.75" customHeight="1">
      <c r="B274" s="173" t="s">
        <v>224</v>
      </c>
      <c s="352" t="s">
        <v>235</v>
      </c>
      <c s="352"/>
      <c s="173">
        <v>40</v>
      </c>
      <c s="173">
        <v>2.6400000000000001</v>
      </c>
      <c s="173">
        <v>0.47999999999999998</v>
      </c>
      <c s="173">
        <v>13.68</v>
      </c>
      <c s="173">
        <v>69.599999999999994</v>
      </c>
      <c s="173">
        <v>0.080000000000000002</v>
      </c>
      <c s="173">
        <v>0.040000000000000001</v>
      </c>
      <c s="173">
        <v>0</v>
      </c>
      <c s="173">
        <v>0</v>
      </c>
      <c s="173">
        <v>2.3999999999999999</v>
      </c>
      <c s="173">
        <v>14</v>
      </c>
      <c s="173">
        <v>63.200000000000003</v>
      </c>
      <c s="173">
        <v>1.2</v>
      </c>
      <c s="173">
        <v>0.001</v>
      </c>
      <c s="173">
        <v>9.4000000000000004</v>
      </c>
      <c s="173">
        <v>0.78000000000000003</v>
      </c>
    </row>
    <row r="275" spans="2:20" ht="15">
      <c r="B275" s="173" t="s">
        <v>224</v>
      </c>
      <c s="352" t="s">
        <v>117</v>
      </c>
      <c s="352"/>
      <c s="173">
        <v>30</v>
      </c>
      <c s="173">
        <v>1.52</v>
      </c>
      <c s="173">
        <v>0.16</v>
      </c>
      <c s="173">
        <v>9.8399999999999999</v>
      </c>
      <c s="173">
        <v>46.899999999999999</v>
      </c>
      <c s="173">
        <v>0.02</v>
      </c>
      <c s="173">
        <v>0.01</v>
      </c>
      <c s="173">
        <v>0.44</v>
      </c>
      <c s="173">
        <v>0</v>
      </c>
      <c s="173">
        <v>0.69999999999999996</v>
      </c>
      <c s="173">
        <v>4</v>
      </c>
      <c s="173">
        <v>13</v>
      </c>
      <c s="173">
        <v>0.0080000000000000002</v>
      </c>
      <c s="173">
        <v>0.001</v>
      </c>
      <c s="173">
        <v>0</v>
      </c>
      <c s="173">
        <v>0.22</v>
      </c>
    </row>
    <row r="276" spans="2:20" ht="23.25" customHeight="1">
      <c r="B276" s="353" t="s">
        <v>236</v>
      </c>
      <c s="353"/>
      <c s="353"/>
      <c s="190">
        <f>E270+E271+E272+E274+E275+204</f>
        <v>774</v>
      </c>
      <c s="190">
        <f>F270+F271+F272+F273+F274+F275</f>
        <v>29.34</v>
      </c>
      <c s="190">
        <f t="shared" si="64" ref="G276:T276">G270+G271+G272+G273+G274+G275</f>
        <v>30.32</v>
      </c>
      <c s="190">
        <f t="shared" si="64"/>
        <v>85.670000000000002</v>
      </c>
      <c s="190">
        <f t="shared" si="64"/>
        <v>733.56999999999994</v>
      </c>
      <c s="190">
        <f t="shared" si="64"/>
        <v>0.36000000000000004</v>
      </c>
      <c s="190">
        <f t="shared" si="64"/>
        <v>0.35999999999999999</v>
      </c>
      <c s="190">
        <f t="shared" si="64"/>
        <v>20.5</v>
      </c>
      <c s="190">
        <f t="shared" si="64"/>
        <v>0.26000000000000001</v>
      </c>
      <c s="190">
        <f t="shared" si="64"/>
        <v>3.1600000000000001</v>
      </c>
      <c s="190">
        <f t="shared" si="64"/>
        <v>92.809999999999988</v>
      </c>
      <c s="190">
        <f t="shared" si="64"/>
        <v>368.14999999999998</v>
      </c>
      <c s="190">
        <f t="shared" si="64"/>
        <v>1.2249999999999999</v>
      </c>
      <c s="190">
        <f t="shared" si="64"/>
        <v>0.002</v>
      </c>
      <c s="190">
        <f t="shared" si="64"/>
        <v>99.109999999999999</v>
      </c>
      <c s="190">
        <f t="shared" si="64"/>
        <v>8.2100000000000009</v>
      </c>
    </row>
    <row r="277" spans="2:20" ht="15">
      <c r="B277" s="353" t="s">
        <v>226</v>
      </c>
      <c s="353"/>
      <c s="353"/>
      <c s="353"/>
      <c s="191">
        <f t="shared" si="65" ref="F277:T277">F276/F284</f>
        <v>0.38103896103896101</v>
      </c>
      <c s="191">
        <f t="shared" si="65"/>
        <v>0.3837974683544304</v>
      </c>
      <c s="191">
        <f t="shared" si="65"/>
        <v>0.2557313432835821</v>
      </c>
      <c s="191">
        <f t="shared" si="65"/>
        <v>0.3121574468085106</v>
      </c>
      <c s="191">
        <f t="shared" si="65"/>
        <v>0.30000000000000004</v>
      </c>
      <c s="191">
        <f t="shared" si="65"/>
        <v>0.25714285714285717</v>
      </c>
      <c s="191">
        <f t="shared" si="65"/>
        <v>0.34166666666666667</v>
      </c>
      <c s="191">
        <f t="shared" si="65"/>
        <v>0.37142857142857144</v>
      </c>
      <c s="191">
        <f t="shared" si="65"/>
        <v>0.316</v>
      </c>
      <c s="191">
        <f t="shared" si="65"/>
        <v>0.084372727272727266</v>
      </c>
      <c s="191">
        <f t="shared" si="65"/>
        <v>0.33468181818181814</v>
      </c>
      <c s="191">
        <f t="shared" si="65"/>
        <v>0.12249999999999998</v>
      </c>
      <c s="191">
        <f t="shared" si="65"/>
        <v>0.02</v>
      </c>
      <c s="191">
        <f t="shared" si="65"/>
        <v>0.39644000000000001</v>
      </c>
      <c s="191">
        <f t="shared" si="65"/>
        <v>0.6841666666666667</v>
      </c>
    </row>
    <row r="278" spans="2:20" ht="15">
      <c r="B278" s="353" t="s">
        <v>237</v>
      </c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</row>
    <row r="279" spans="2:20" ht="21" customHeight="1">
      <c r="B279" s="177" t="s">
        <v>224</v>
      </c>
      <c s="345" t="s">
        <v>274</v>
      </c>
      <c s="345"/>
      <c s="177">
        <v>100</v>
      </c>
      <c s="177">
        <v>13.08</v>
      </c>
      <c s="177">
        <v>6.0599999999999996</v>
      </c>
      <c s="177">
        <v>49.579999999999998</v>
      </c>
      <c s="177">
        <v>306</v>
      </c>
      <c s="177">
        <v>0.14000000000000001</v>
      </c>
      <c s="177">
        <v>0.17999999999999999</v>
      </c>
      <c s="177">
        <v>0.17999999999999999</v>
      </c>
      <c s="177">
        <v>0.14000000000000001</v>
      </c>
      <c s="177"/>
      <c s="177">
        <v>75.799999999999997</v>
      </c>
      <c s="177">
        <v>140</v>
      </c>
      <c s="177"/>
      <c s="177">
        <v>0</v>
      </c>
      <c s="177">
        <v>34.600000000000001</v>
      </c>
      <c s="177">
        <v>1.52</v>
      </c>
    </row>
    <row r="280" spans="2:20" ht="25.5" customHeight="1">
      <c r="B280" s="177">
        <v>349</v>
      </c>
      <c s="345" t="s">
        <v>239</v>
      </c>
      <c s="345"/>
      <c s="177">
        <v>200</v>
      </c>
      <c s="177">
        <v>0.22</v>
      </c>
      <c s="177">
        <v>0</v>
      </c>
      <c s="177">
        <v>24.420000000000002</v>
      </c>
      <c s="177">
        <v>98.560000000000002</v>
      </c>
      <c s="177"/>
      <c s="177"/>
      <c s="177">
        <v>0.20000000000000001</v>
      </c>
      <c s="177"/>
      <c s="177"/>
      <c s="177">
        <v>22.600000000000001</v>
      </c>
      <c s="177">
        <v>7.7000000000000002</v>
      </c>
      <c s="177">
        <v>0</v>
      </c>
      <c s="177">
        <v>0</v>
      </c>
      <c s="177">
        <v>3</v>
      </c>
      <c s="177">
        <v>0.66000000000000003</v>
      </c>
    </row>
    <row r="281" spans="2:20" ht="15" customHeight="1">
      <c r="B281" s="349" t="s">
        <v>240</v>
      </c>
      <c s="350"/>
      <c s="351"/>
      <c s="178">
        <f>SUM(E279:E280)</f>
        <v>300</v>
      </c>
      <c s="178">
        <f t="shared" si="66" ref="F281:T281">SUM(F279:F280)</f>
        <v>13.300000000000001</v>
      </c>
      <c s="178">
        <f t="shared" si="66"/>
        <v>6.0599999999999996</v>
      </c>
      <c s="178">
        <f t="shared" si="66"/>
        <v>74</v>
      </c>
      <c s="178">
        <f t="shared" si="66"/>
        <v>404.56</v>
      </c>
      <c s="178">
        <f t="shared" si="66"/>
        <v>0.14000000000000001</v>
      </c>
      <c s="178">
        <f t="shared" si="66"/>
        <v>0.17999999999999999</v>
      </c>
      <c s="178">
        <f t="shared" si="66"/>
        <v>0.38</v>
      </c>
      <c s="178">
        <f t="shared" si="66"/>
        <v>0.14000000000000001</v>
      </c>
      <c s="178">
        <f t="shared" si="66"/>
        <v>0</v>
      </c>
      <c s="178">
        <f t="shared" si="66"/>
        <v>98.400000000000006</v>
      </c>
      <c s="178">
        <f t="shared" si="66"/>
        <v>147.69999999999999</v>
      </c>
      <c s="178">
        <f t="shared" si="66"/>
        <v>0</v>
      </c>
      <c s="178">
        <f t="shared" si="66"/>
        <v>0</v>
      </c>
      <c s="178">
        <f t="shared" si="66"/>
        <v>37.600000000000001</v>
      </c>
      <c s="178">
        <f t="shared" si="66"/>
        <v>2.1800000000000002</v>
      </c>
    </row>
    <row r="282" spans="2:20" ht="15">
      <c r="B282" s="353" t="s">
        <v>226</v>
      </c>
      <c s="353"/>
      <c s="353"/>
      <c s="353"/>
      <c s="191">
        <f>F281/F284</f>
        <v>0.17272727272727273</v>
      </c>
      <c s="191">
        <f t="shared" si="67" ref="G282:T282">G281/G284</f>
        <v>0.076708860759493666</v>
      </c>
      <c s="191">
        <f t="shared" si="67"/>
        <v>0.22089552238805971</v>
      </c>
      <c s="191">
        <f t="shared" si="67"/>
        <v>0.1721531914893617</v>
      </c>
      <c s="191">
        <f t="shared" si="67"/>
        <v>0.11666666666666668</v>
      </c>
      <c s="191">
        <f t="shared" si="67"/>
        <v>0.12857142857142859</v>
      </c>
      <c s="191">
        <f t="shared" si="67"/>
        <v>0.0063333333333333332</v>
      </c>
      <c s="191">
        <f t="shared" si="67"/>
        <v>0.20000000000000004</v>
      </c>
      <c s="191">
        <f t="shared" si="67"/>
        <v>0</v>
      </c>
      <c s="191">
        <f t="shared" si="67"/>
        <v>0.089454545454545453</v>
      </c>
      <c s="191">
        <f t="shared" si="67"/>
        <v>0.13427272727272727</v>
      </c>
      <c s="191">
        <f t="shared" si="67"/>
        <v>0</v>
      </c>
      <c s="191">
        <f t="shared" si="67"/>
        <v>0</v>
      </c>
      <c s="191">
        <f t="shared" si="67"/>
        <v>0.15040000000000001</v>
      </c>
      <c s="191">
        <f t="shared" si="67"/>
        <v>0.18166666666666667</v>
      </c>
    </row>
    <row r="283" spans="2:20" ht="15">
      <c r="B283" s="353" t="s">
        <v>241</v>
      </c>
      <c s="353"/>
      <c s="353"/>
      <c s="353"/>
      <c s="190">
        <f>F281+F276+F266</f>
        <v>60.890000000000001</v>
      </c>
      <c s="190">
        <f t="shared" si="68" ref="G283:T283">G281+G276+G266</f>
        <v>54.460000000000008</v>
      </c>
      <c s="190">
        <f t="shared" si="68"/>
        <v>242.96000000000004</v>
      </c>
      <c s="190">
        <f t="shared" si="68"/>
        <v>1697.1299999999999</v>
      </c>
      <c s="190">
        <f t="shared" si="68"/>
        <v>0.71999999999999997</v>
      </c>
      <c s="190">
        <f t="shared" si="68"/>
        <v>0.86299999999999999</v>
      </c>
      <c s="190">
        <f t="shared" si="68"/>
        <v>30.460000000000001</v>
      </c>
      <c s="190">
        <f t="shared" si="68"/>
        <v>0.62009999999999998</v>
      </c>
      <c s="190">
        <f t="shared" si="68"/>
        <v>5.9350000000000005</v>
      </c>
      <c s="190">
        <f t="shared" si="68"/>
        <v>354.15999999999997</v>
      </c>
      <c s="190">
        <f t="shared" si="68"/>
        <v>877.88999999999987</v>
      </c>
      <c s="190">
        <f t="shared" si="68"/>
        <v>3.4459999999999997</v>
      </c>
      <c s="190">
        <f t="shared" si="68"/>
        <v>0.023</v>
      </c>
      <c s="190">
        <f t="shared" si="68"/>
        <v>208.42000000000002</v>
      </c>
      <c s="190">
        <f t="shared" si="68"/>
        <v>14.170000000000002</v>
      </c>
    </row>
    <row r="284" spans="2:20" ht="15">
      <c r="B284" s="353" t="s">
        <v>242</v>
      </c>
      <c s="353"/>
      <c s="353"/>
      <c s="353"/>
      <c s="173">
        <v>77</v>
      </c>
      <c s="173">
        <v>79</v>
      </c>
      <c s="173">
        <v>335</v>
      </c>
      <c s="173">
        <v>2350</v>
      </c>
      <c s="173">
        <v>1.2</v>
      </c>
      <c s="173">
        <v>1.3999999999999999</v>
      </c>
      <c s="173">
        <v>60</v>
      </c>
      <c s="173">
        <v>0.69999999999999996</v>
      </c>
      <c s="173">
        <v>10</v>
      </c>
      <c s="173">
        <v>1100</v>
      </c>
      <c s="173">
        <v>1100</v>
      </c>
      <c s="173">
        <v>10</v>
      </c>
      <c s="173">
        <v>0.10000000000000001</v>
      </c>
      <c s="173">
        <v>250</v>
      </c>
      <c s="173">
        <v>12</v>
      </c>
    </row>
    <row r="285" spans="2:20" ht="15">
      <c r="B285" s="353" t="s">
        <v>226</v>
      </c>
      <c s="353"/>
      <c s="353"/>
      <c s="353"/>
      <c s="191">
        <f>F283/F284</f>
        <v>0.7907792207792208</v>
      </c>
      <c s="191">
        <f t="shared" si="69" ref="G285:T285">G283/G284</f>
        <v>0.68936708860759499</v>
      </c>
      <c s="191">
        <f t="shared" si="69"/>
        <v>0.72525373134328364</v>
      </c>
      <c s="191">
        <f t="shared" si="69"/>
        <v>0.7221829787234042</v>
      </c>
      <c s="191">
        <f t="shared" si="69"/>
        <v>0.59999999999999998</v>
      </c>
      <c s="191">
        <f t="shared" si="69"/>
        <v>0.61642857142857144</v>
      </c>
      <c s="191">
        <f t="shared" si="69"/>
        <v>0.50766666666666671</v>
      </c>
      <c s="191">
        <f t="shared" si="69"/>
        <v>0.8858571428571429</v>
      </c>
      <c s="191">
        <f t="shared" si="69"/>
        <v>0.59350000000000003</v>
      </c>
      <c s="191">
        <f t="shared" si="69"/>
        <v>0.32196363636363634</v>
      </c>
      <c s="191">
        <f t="shared" si="69"/>
        <v>0.79808181818181811</v>
      </c>
      <c s="191">
        <f t="shared" si="69"/>
        <v>0.34459999999999996</v>
      </c>
      <c s="191">
        <f t="shared" si="69"/>
        <v>0.22999999999999998</v>
      </c>
      <c s="191">
        <f t="shared" si="69"/>
        <v>0.83368000000000009</v>
      </c>
      <c s="191">
        <f t="shared" si="69"/>
        <v>1.1808333333333334</v>
      </c>
    </row>
    <row r="286" spans="2:20" ht="28.5" customHeight="1">
      <c r="B286" s="356" t="s">
        <v>259</v>
      </c>
      <c s="356"/>
      <c s="356"/>
      <c s="356"/>
      <c s="356"/>
      <c s="356"/>
      <c s="356"/>
      <c s="356"/>
      <c s="173"/>
      <c s="173"/>
      <c s="173"/>
      <c s="356" t="s">
        <v>187</v>
      </c>
      <c s="356"/>
      <c s="356"/>
      <c s="356"/>
      <c s="356"/>
      <c s="356"/>
      <c s="356"/>
      <c s="356"/>
    </row>
    <row r="287" spans="2:20" ht="15">
      <c r="B287" s="173"/>
      <c s="173"/>
      <c s="190"/>
      <c s="190"/>
      <c s="173"/>
      <c s="173"/>
      <c s="173"/>
      <c s="173"/>
      <c s="173"/>
      <c s="173"/>
      <c s="173"/>
      <c s="173"/>
      <c s="173"/>
      <c s="173"/>
      <c s="173"/>
      <c s="173"/>
      <c s="173"/>
      <c s="173"/>
      <c s="173"/>
    </row>
    <row r="288" spans="2:20" ht="15">
      <c r="B288" s="353" t="s">
        <v>317</v>
      </c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</row>
    <row r="289" spans="2:20" ht="15">
      <c r="B289" s="353" t="s">
        <v>189</v>
      </c>
      <c s="353"/>
      <c s="173"/>
      <c s="173"/>
      <c s="173"/>
      <c s="356" t="s">
        <v>276</v>
      </c>
      <c s="356"/>
      <c s="356"/>
      <c s="173"/>
      <c s="173"/>
      <c s="353" t="s">
        <v>191</v>
      </c>
      <c s="353"/>
      <c s="356" t="s">
        <v>192</v>
      </c>
      <c s="356"/>
      <c s="356"/>
      <c s="356"/>
      <c s="173"/>
      <c s="173"/>
      <c s="173"/>
    </row>
    <row r="290" spans="2:20" ht="15">
      <c r="B290" s="173"/>
      <c s="173"/>
      <c s="173"/>
      <c s="353" t="s">
        <v>194</v>
      </c>
      <c s="353"/>
      <c s="173">
        <v>2</v>
      </c>
      <c s="173"/>
      <c s="173"/>
      <c s="173"/>
      <c s="173"/>
      <c s="353" t="s">
        <v>195</v>
      </c>
      <c s="353"/>
      <c s="356" t="s">
        <v>196</v>
      </c>
      <c s="356"/>
      <c s="356"/>
      <c s="356"/>
      <c s="356"/>
      <c s="356"/>
      <c s="356"/>
    </row>
    <row r="291" spans="2:20" ht="15">
      <c r="B291" s="174" t="s">
        <v>0</v>
      </c>
      <c s="354" t="s">
        <v>198</v>
      </c>
      <c s="354"/>
      <c s="354" t="s">
        <v>199</v>
      </c>
      <c s="354" t="s">
        <v>200</v>
      </c>
      <c s="354"/>
      <c s="354"/>
      <c s="174" t="s">
        <v>201</v>
      </c>
      <c s="354" t="s">
        <v>202</v>
      </c>
      <c s="354"/>
      <c s="354"/>
      <c s="354"/>
      <c s="354"/>
      <c s="354" t="s">
        <v>203</v>
      </c>
      <c s="354"/>
      <c s="354"/>
      <c s="354"/>
      <c s="354"/>
      <c s="354"/>
    </row>
    <row r="292" spans="2:20" ht="51">
      <c r="B292" s="174" t="s">
        <v>245</v>
      </c>
      <c s="354"/>
      <c s="354"/>
      <c s="354"/>
      <c s="174" t="s">
        <v>204</v>
      </c>
      <c s="174" t="s">
        <v>205</v>
      </c>
      <c s="174" t="s">
        <v>206</v>
      </c>
      <c s="174" t="s">
        <v>207</v>
      </c>
      <c s="174" t="s">
        <v>208</v>
      </c>
      <c s="174" t="s">
        <v>209</v>
      </c>
      <c s="174" t="s">
        <v>210</v>
      </c>
      <c s="174" t="s">
        <v>211</v>
      </c>
      <c s="174" t="s">
        <v>212</v>
      </c>
      <c s="174" t="s">
        <v>213</v>
      </c>
      <c s="174" t="s">
        <v>214</v>
      </c>
      <c s="174" t="s">
        <v>215</v>
      </c>
      <c s="174" t="s">
        <v>216</v>
      </c>
      <c s="174" t="s">
        <v>217</v>
      </c>
      <c s="174" t="s">
        <v>218</v>
      </c>
    </row>
    <row r="293" spans="2:20" ht="15">
      <c r="B293" s="175">
        <v>1</v>
      </c>
      <c s="355">
        <v>2</v>
      </c>
      <c s="355"/>
      <c s="175">
        <v>3</v>
      </c>
      <c s="175">
        <v>4</v>
      </c>
      <c s="175">
        <v>5</v>
      </c>
      <c s="175">
        <v>6</v>
      </c>
      <c s="175">
        <v>7</v>
      </c>
      <c s="175">
        <v>8</v>
      </c>
      <c s="175">
        <v>9</v>
      </c>
      <c s="175">
        <v>10</v>
      </c>
      <c s="175">
        <v>11</v>
      </c>
      <c s="175">
        <v>12</v>
      </c>
      <c s="175">
        <v>13</v>
      </c>
      <c s="175">
        <v>14</v>
      </c>
      <c s="175">
        <v>15</v>
      </c>
      <c s="175">
        <v>16</v>
      </c>
      <c s="175">
        <v>17</v>
      </c>
      <c s="175">
        <v>18</v>
      </c>
    </row>
    <row r="294" spans="2:20" ht="15">
      <c r="B294" s="353" t="s">
        <v>246</v>
      </c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</row>
    <row r="295" spans="2:20" s="176" customFormat="1" ht="27.75" customHeight="1">
      <c r="B295" s="177" t="s">
        <v>318</v>
      </c>
      <c s="357" t="s">
        <v>319</v>
      </c>
      <c s="358"/>
      <c s="177">
        <v>30</v>
      </c>
      <c s="177">
        <v>0.56999999999999995</v>
      </c>
      <c s="177">
        <v>2.6699999999999999</v>
      </c>
      <c s="177">
        <v>2.3100000000000001</v>
      </c>
      <c s="184">
        <v>35.700000000000003</v>
      </c>
      <c s="177">
        <v>0.01</v>
      </c>
      <c s="177">
        <v>0</v>
      </c>
      <c s="177">
        <v>2.1000000000000001</v>
      </c>
      <c s="177">
        <v>0.01</v>
      </c>
      <c s="177"/>
      <c s="177">
        <v>12.300000000000001</v>
      </c>
      <c s="177">
        <v>11.1</v>
      </c>
      <c s="177"/>
      <c s="177">
        <v>0</v>
      </c>
      <c s="177">
        <v>4.5</v>
      </c>
      <c s="177">
        <v>0.20999999999999999</v>
      </c>
    </row>
    <row r="296" spans="2:20" ht="27.75" customHeight="1">
      <c r="B296" s="201">
        <v>71</v>
      </c>
      <c s="345" t="s">
        <v>247</v>
      </c>
      <c s="345"/>
      <c s="201">
        <v>40</v>
      </c>
      <c s="201">
        <v>0.33000000000000002</v>
      </c>
      <c s="201">
        <v>0.040000000000000001</v>
      </c>
      <c s="201">
        <v>1.1299999999999999</v>
      </c>
      <c s="201">
        <v>6.2300000000000004</v>
      </c>
      <c s="201">
        <v>0.0089999999999999993</v>
      </c>
      <c s="201">
        <v>0.01</v>
      </c>
      <c s="201">
        <v>3</v>
      </c>
      <c s="201">
        <v>0.0030000000000000001</v>
      </c>
      <c s="201">
        <v>0.029999999999999999</v>
      </c>
      <c s="201">
        <v>6.9000000000000004</v>
      </c>
      <c s="201">
        <v>12.6</v>
      </c>
      <c s="201">
        <v>0.064000000000000001</v>
      </c>
      <c s="201">
        <v>0.001</v>
      </c>
      <c s="201">
        <v>4.2000000000000002</v>
      </c>
      <c s="201">
        <v>0.17999999999999999</v>
      </c>
    </row>
    <row r="297" spans="2:20" s="176" customFormat="1" ht="25.5" customHeight="1">
      <c r="B297" s="177">
        <v>279</v>
      </c>
      <c s="345" t="s">
        <v>320</v>
      </c>
      <c s="345"/>
      <c s="177" t="s">
        <v>321</v>
      </c>
      <c s="177">
        <v>11.699999999999999</v>
      </c>
      <c s="177">
        <v>14.1</v>
      </c>
      <c s="177">
        <v>14.9</v>
      </c>
      <c s="177">
        <v>233.40000000000001</v>
      </c>
      <c s="177">
        <v>0.16</v>
      </c>
      <c s="177">
        <v>0.13</v>
      </c>
      <c s="177">
        <v>0.31</v>
      </c>
      <c s="177">
        <v>0.0089999999999999993</v>
      </c>
      <c s="177">
        <v>0.01</v>
      </c>
      <c s="177">
        <v>12.65</v>
      </c>
      <c s="177">
        <v>138.55000000000001</v>
      </c>
      <c s="177">
        <v>1.99</v>
      </c>
      <c s="177">
        <v>0.029999999999999999</v>
      </c>
      <c s="177">
        <v>20.289999999999999</v>
      </c>
      <c s="177">
        <v>1.73</v>
      </c>
    </row>
    <row r="298" spans="2:20" ht="25.5" customHeight="1">
      <c r="B298" s="173">
        <v>203</v>
      </c>
      <c s="352" t="s">
        <v>304</v>
      </c>
      <c s="352"/>
      <c s="173">
        <v>150</v>
      </c>
      <c s="173">
        <v>5.5199999999999996</v>
      </c>
      <c s="173">
        <v>4.5199999999999996</v>
      </c>
      <c s="173">
        <v>26.449999999999999</v>
      </c>
      <c s="173">
        <v>161.90000000000001</v>
      </c>
      <c s="173">
        <v>0.089999999999999997</v>
      </c>
      <c s="173">
        <v>0.029999999999999999</v>
      </c>
      <c s="173">
        <v>0</v>
      </c>
      <c s="173">
        <v>0.029999999999999999</v>
      </c>
      <c s="173">
        <v>1.25</v>
      </c>
      <c s="173">
        <v>13.279999999999999</v>
      </c>
      <c s="173">
        <v>46.210000000000001</v>
      </c>
      <c s="173">
        <v>0.78000000000000003</v>
      </c>
      <c s="173">
        <v>0.002</v>
      </c>
      <c s="173">
        <v>8.4700000000000006</v>
      </c>
      <c s="173">
        <v>0.85999999999999999</v>
      </c>
    </row>
    <row r="299" spans="2:20" ht="18.75" customHeight="1">
      <c r="B299" s="173">
        <v>338</v>
      </c>
      <c s="352" t="s">
        <v>288</v>
      </c>
      <c s="352"/>
      <c s="173">
        <v>100</v>
      </c>
      <c s="173">
        <v>0.40000000000000002</v>
      </c>
      <c s="173">
        <v>0.40000000000000002</v>
      </c>
      <c s="173">
        <v>9.8000000000000007</v>
      </c>
      <c s="173">
        <v>44.399999999999999</v>
      </c>
      <c s="173">
        <v>0.040000000000000001</v>
      </c>
      <c s="173">
        <v>0.02</v>
      </c>
      <c s="173">
        <v>10</v>
      </c>
      <c s="173">
        <v>0</v>
      </c>
      <c s="173">
        <v>0.20000000000000001</v>
      </c>
      <c s="173">
        <v>16</v>
      </c>
      <c s="173">
        <v>11</v>
      </c>
      <c s="173">
        <v>0</v>
      </c>
      <c s="173">
        <v>0</v>
      </c>
      <c s="173">
        <v>9</v>
      </c>
      <c s="173">
        <v>2.2000000000000002</v>
      </c>
    </row>
    <row r="300" spans="2:20" ht="18.75" customHeight="1">
      <c r="B300" s="173">
        <v>381</v>
      </c>
      <c s="352" t="s">
        <v>322</v>
      </c>
      <c s="352"/>
      <c s="173">
        <v>200</v>
      </c>
      <c s="173"/>
      <c s="173"/>
      <c s="173">
        <v>19.960000000000001</v>
      </c>
      <c s="173">
        <v>75</v>
      </c>
      <c s="173"/>
      <c s="173"/>
      <c s="173"/>
      <c s="173"/>
      <c s="173">
        <v>0</v>
      </c>
      <c s="173">
        <v>0.40000000000000002</v>
      </c>
      <c s="173"/>
      <c s="173">
        <v>0</v>
      </c>
      <c s="173"/>
      <c s="173"/>
      <c s="173">
        <v>0.059999999999999998</v>
      </c>
    </row>
    <row r="301" spans="2:20" ht="18.75" customHeight="1">
      <c r="B301" s="173" t="s">
        <v>224</v>
      </c>
      <c s="352" t="s">
        <v>161</v>
      </c>
      <c s="352"/>
      <c s="173">
        <v>40</v>
      </c>
      <c s="173">
        <v>3.04</v>
      </c>
      <c s="173">
        <v>0.32000000000000001</v>
      </c>
      <c s="173">
        <v>19.68</v>
      </c>
      <c s="173">
        <v>89</v>
      </c>
      <c s="173">
        <v>0.040000000000000001</v>
      </c>
      <c s="173">
        <v>0.01</v>
      </c>
      <c s="173">
        <v>0.88</v>
      </c>
      <c s="173">
        <v>0</v>
      </c>
      <c s="173">
        <v>0.69999999999999996</v>
      </c>
      <c s="173">
        <v>8</v>
      </c>
      <c s="173">
        <v>26</v>
      </c>
      <c s="173">
        <v>0.0080000000000000002</v>
      </c>
      <c s="173">
        <v>0.0030000000000000001</v>
      </c>
      <c s="173">
        <v>0</v>
      </c>
      <c s="173">
        <v>0.44</v>
      </c>
    </row>
    <row r="302" spans="2:20" ht="15">
      <c r="B302" s="194" t="s">
        <v>251</v>
      </c>
      <c s="195"/>
      <c s="196"/>
      <c s="190">
        <f>E296+E298+E299+E300+E301+100</f>
        <v>630</v>
      </c>
      <c s="190">
        <f>F296+F297+F298+F299+F300+F301</f>
        <v>20.989999999999995</v>
      </c>
      <c s="190">
        <f t="shared" si="70" ref="G302:T302">G296+G297+G298+G299+G300+G301</f>
        <v>19.379999999999995</v>
      </c>
      <c s="190">
        <f t="shared" si="70"/>
        <v>91.920000000000016</v>
      </c>
      <c s="190">
        <f t="shared" si="70"/>
        <v>609.92999999999995</v>
      </c>
      <c s="190">
        <f t="shared" si="70"/>
        <v>0.33899999999999997</v>
      </c>
      <c s="190">
        <f t="shared" si="70"/>
        <v>0.20000000000000001</v>
      </c>
      <c s="190">
        <f t="shared" si="70"/>
        <v>14.190000000000001</v>
      </c>
      <c s="190">
        <f t="shared" si="70"/>
        <v>0.041999999999999996</v>
      </c>
      <c s="190">
        <f t="shared" si="70"/>
        <v>2.1899999999999999</v>
      </c>
      <c s="190">
        <f t="shared" si="70"/>
        <v>57.229999999999997</v>
      </c>
      <c s="190">
        <f t="shared" si="70"/>
        <v>234.36000000000001</v>
      </c>
      <c s="190">
        <f t="shared" si="70"/>
        <v>2.8419999999999996</v>
      </c>
      <c s="190">
        <f t="shared" si="70"/>
        <v>0.036000000000000004</v>
      </c>
      <c s="190">
        <f t="shared" si="70"/>
        <v>41.960000000000001</v>
      </c>
      <c s="190">
        <f t="shared" si="70"/>
        <v>5.4700000000000006</v>
      </c>
    </row>
    <row r="303" spans="2:20" ht="15">
      <c r="B303" s="353" t="s">
        <v>226</v>
      </c>
      <c s="353"/>
      <c s="353"/>
      <c s="353"/>
      <c s="191">
        <f t="shared" si="71" ref="F303:T303">F302/F320</f>
        <v>0.27259740259740251</v>
      </c>
      <c s="191">
        <f t="shared" si="71"/>
        <v>0.24531645569620247</v>
      </c>
      <c s="191">
        <f t="shared" si="71"/>
        <v>0.2743880597014926</v>
      </c>
      <c s="191">
        <f t="shared" si="71"/>
        <v>0.2595446808510638</v>
      </c>
      <c s="191">
        <f t="shared" si="71"/>
        <v>0.28249999999999997</v>
      </c>
      <c s="191">
        <f t="shared" si="71"/>
        <v>0.14285714285714288</v>
      </c>
      <c s="191">
        <f t="shared" si="71"/>
        <v>0.23650000000000002</v>
      </c>
      <c s="191">
        <f t="shared" si="71"/>
        <v>0.059999999999999998</v>
      </c>
      <c s="191">
        <f t="shared" si="71"/>
        <v>0.219</v>
      </c>
      <c s="191">
        <f t="shared" si="71"/>
        <v>0.052027272727272728</v>
      </c>
      <c s="191">
        <f t="shared" si="71"/>
        <v>0.21305454545454547</v>
      </c>
      <c s="191">
        <f t="shared" si="71"/>
        <v>0.28419999999999995</v>
      </c>
      <c s="191">
        <f t="shared" si="71"/>
        <v>0.36000000000000004</v>
      </c>
      <c s="191">
        <f t="shared" si="71"/>
        <v>0.16784000000000002</v>
      </c>
      <c s="191">
        <f t="shared" si="71"/>
        <v>0.45583333333333337</v>
      </c>
    </row>
    <row r="304" spans="2:20" ht="15">
      <c r="B304" s="353" t="s">
        <v>227</v>
      </c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</row>
    <row r="305" spans="2:20" ht="28.5" customHeight="1">
      <c r="B305" s="173">
        <v>52</v>
      </c>
      <c s="352" t="s">
        <v>252</v>
      </c>
      <c s="352"/>
      <c s="173">
        <v>60</v>
      </c>
      <c s="173">
        <v>0.85999999999999999</v>
      </c>
      <c s="173">
        <v>3.0499999999999998</v>
      </c>
      <c s="173">
        <v>5.1299999999999999</v>
      </c>
      <c s="173">
        <v>50.130000000000003</v>
      </c>
      <c s="173">
        <v>0.01</v>
      </c>
      <c s="173">
        <v>0.02</v>
      </c>
      <c s="173">
        <v>5.7000000000000002</v>
      </c>
      <c s="173">
        <v>0.01</v>
      </c>
      <c s="173">
        <v>0.10000000000000001</v>
      </c>
      <c s="173">
        <v>26.609999999999999</v>
      </c>
      <c s="173">
        <v>25.640000000000001</v>
      </c>
      <c s="173">
        <v>0.42999999999999999</v>
      </c>
      <c s="173">
        <v>0.01</v>
      </c>
      <c s="173">
        <v>12.9</v>
      </c>
      <c s="173">
        <v>0.83999999999999997</v>
      </c>
    </row>
    <row r="306" spans="2:20" ht="32.25" customHeight="1">
      <c r="B306" s="173">
        <v>124</v>
      </c>
      <c s="352" t="s">
        <v>323</v>
      </c>
      <c s="352"/>
      <c s="173">
        <v>200</v>
      </c>
      <c s="173">
        <v>1.3999999999999999</v>
      </c>
      <c s="173">
        <v>4.5</v>
      </c>
      <c s="173">
        <v>6.7999999999999998</v>
      </c>
      <c s="173">
        <v>76</v>
      </c>
      <c s="173">
        <v>0.040000000000000001</v>
      </c>
      <c s="173">
        <v>0.040000000000000001</v>
      </c>
      <c s="173">
        <v>9.5999999999999996</v>
      </c>
      <c s="173">
        <v>0.040000000000000001</v>
      </c>
      <c s="173"/>
      <c s="173">
        <v>25.440000000000001</v>
      </c>
      <c s="173">
        <v>0</v>
      </c>
      <c s="173"/>
      <c s="173">
        <v>0</v>
      </c>
      <c s="173">
        <v>15.279999999999999</v>
      </c>
      <c s="173">
        <v>0.56000000000000005</v>
      </c>
    </row>
    <row r="307" spans="2:20" ht="21" customHeight="1">
      <c r="B307" s="173">
        <v>232</v>
      </c>
      <c s="352" t="s">
        <v>324</v>
      </c>
      <c s="352"/>
      <c s="173">
        <v>90</v>
      </c>
      <c s="173">
        <v>19.989999999999998</v>
      </c>
      <c s="173">
        <v>10.49</v>
      </c>
      <c s="173">
        <v>2.6899999999999999</v>
      </c>
      <c s="173">
        <v>185.09999999999999</v>
      </c>
      <c s="173">
        <v>0.20000000000000001</v>
      </c>
      <c s="173">
        <v>0.17000000000000001</v>
      </c>
      <c s="173">
        <v>0.90000000000000002</v>
      </c>
      <c s="173">
        <v>0.029999999999999999</v>
      </c>
      <c s="173">
        <v>0.1125</v>
      </c>
      <c s="173">
        <v>37.5</v>
      </c>
      <c s="173">
        <v>11.300000000000001</v>
      </c>
      <c s="173">
        <v>0.20000000000000001</v>
      </c>
      <c s="173">
        <v>0.01</v>
      </c>
      <c s="173">
        <v>20.719999999999999</v>
      </c>
      <c s="173">
        <v>0.70999999999999996</v>
      </c>
    </row>
    <row r="308" spans="2:20" ht="25.5" customHeight="1">
      <c r="B308" s="173">
        <v>312</v>
      </c>
      <c s="352" t="s">
        <v>256</v>
      </c>
      <c s="352"/>
      <c s="173">
        <v>150</v>
      </c>
      <c s="173">
        <v>3.29</v>
      </c>
      <c s="173">
        <v>7.0599999999999996</v>
      </c>
      <c s="173">
        <v>22.210000000000001</v>
      </c>
      <c s="173">
        <v>165.53999999999999</v>
      </c>
      <c s="173">
        <v>0.16</v>
      </c>
      <c s="173">
        <v>0.13</v>
      </c>
      <c s="173">
        <v>26.109999999999999</v>
      </c>
      <c s="173">
        <v>0.080000000000000002</v>
      </c>
      <c s="173">
        <v>1.5</v>
      </c>
      <c s="173">
        <v>42.539999999999999</v>
      </c>
      <c s="173">
        <v>97.799999999999997</v>
      </c>
      <c s="173">
        <v>0.29899999999999999</v>
      </c>
      <c s="173">
        <v>0.001</v>
      </c>
      <c s="173">
        <v>33.060000000000002</v>
      </c>
      <c s="173">
        <v>1.1899999999999999</v>
      </c>
    </row>
    <row r="309" spans="2:20" ht="21" customHeight="1">
      <c r="B309" s="173">
        <v>376</v>
      </c>
      <c s="352" t="s">
        <v>141</v>
      </c>
      <c s="352"/>
      <c s="173">
        <v>200</v>
      </c>
      <c s="173">
        <v>0.20000000000000001</v>
      </c>
      <c s="173">
        <v>0.050000000000000003</v>
      </c>
      <c s="173">
        <v>15.01</v>
      </c>
      <c s="173">
        <v>61</v>
      </c>
      <c s="173">
        <v>0</v>
      </c>
      <c s="173">
        <v>0.01</v>
      </c>
      <c s="173">
        <v>9</v>
      </c>
      <c s="173">
        <v>0.0001</v>
      </c>
      <c s="173">
        <v>0.044999999999999998</v>
      </c>
      <c s="173">
        <v>5.25</v>
      </c>
      <c s="173">
        <v>8.2400000000000002</v>
      </c>
      <c s="173">
        <v>0.0080000000000000002</v>
      </c>
      <c s="173">
        <v>0</v>
      </c>
      <c s="173">
        <v>4.4000000000000004</v>
      </c>
      <c s="173">
        <v>0.87</v>
      </c>
    </row>
    <row r="310" spans="2:20" ht="19.5" customHeight="1">
      <c r="B310" s="173" t="s">
        <v>224</v>
      </c>
      <c s="352" t="s">
        <v>235</v>
      </c>
      <c s="352"/>
      <c s="173">
        <v>40</v>
      </c>
      <c s="173">
        <v>2.6400000000000001</v>
      </c>
      <c s="173">
        <v>0.47999999999999998</v>
      </c>
      <c s="173">
        <v>13.68</v>
      </c>
      <c s="173">
        <v>69.599999999999994</v>
      </c>
      <c s="173">
        <v>0.080000000000000002</v>
      </c>
      <c s="173">
        <v>0.040000000000000001</v>
      </c>
      <c s="173">
        <v>0</v>
      </c>
      <c s="173">
        <v>0</v>
      </c>
      <c s="173">
        <v>2.3999999999999999</v>
      </c>
      <c s="173">
        <v>14</v>
      </c>
      <c s="173">
        <v>63.200000000000003</v>
      </c>
      <c s="173">
        <v>1.2</v>
      </c>
      <c s="173">
        <v>0.001</v>
      </c>
      <c s="173">
        <v>9.4000000000000004</v>
      </c>
      <c s="173">
        <v>0.78000000000000003</v>
      </c>
    </row>
    <row r="311" spans="2:20" ht="15">
      <c r="B311" s="173" t="s">
        <v>224</v>
      </c>
      <c s="352" t="s">
        <v>117</v>
      </c>
      <c s="352"/>
      <c s="173">
        <v>30</v>
      </c>
      <c s="173">
        <v>1.52</v>
      </c>
      <c s="173">
        <v>0.16</v>
      </c>
      <c s="173">
        <v>9.8399999999999999</v>
      </c>
      <c s="173">
        <v>46.899999999999999</v>
      </c>
      <c s="173">
        <v>0.02</v>
      </c>
      <c s="173">
        <v>0.01</v>
      </c>
      <c s="173">
        <v>0.44</v>
      </c>
      <c s="173">
        <v>0</v>
      </c>
      <c s="173">
        <v>0.69999999999999996</v>
      </c>
      <c s="173">
        <v>4</v>
      </c>
      <c s="173">
        <v>13</v>
      </c>
      <c s="173">
        <v>0.0080000000000000002</v>
      </c>
      <c s="173">
        <v>0.001</v>
      </c>
      <c s="173">
        <v>0</v>
      </c>
      <c s="173">
        <v>0.22</v>
      </c>
    </row>
    <row r="312" spans="2:20" ht="25.5" customHeight="1">
      <c r="B312" s="353" t="s">
        <v>236</v>
      </c>
      <c s="353"/>
      <c s="353"/>
      <c s="190">
        <f>SUM(E305:E311)</f>
        <v>770</v>
      </c>
      <c s="190">
        <f>SUM(F305:F311)</f>
        <v>29.899999999999999</v>
      </c>
      <c s="190">
        <f t="shared" si="72" ref="G312:T312">SUM(G305:G311)</f>
        <v>25.789999999999999</v>
      </c>
      <c s="190">
        <f t="shared" si="72"/>
        <v>75.359999999999999</v>
      </c>
      <c s="190">
        <f t="shared" si="72"/>
        <v>654.26999999999998</v>
      </c>
      <c s="190">
        <f t="shared" si="72"/>
        <v>0.51000000000000001</v>
      </c>
      <c s="190">
        <f t="shared" si="72"/>
        <v>0.41999999999999998</v>
      </c>
      <c s="190">
        <f t="shared" si="72"/>
        <v>51.75</v>
      </c>
      <c s="190">
        <f t="shared" si="72"/>
        <v>0.16009999999999999</v>
      </c>
      <c s="190">
        <f t="shared" si="72"/>
        <v>4.8574999999999999</v>
      </c>
      <c s="190">
        <f t="shared" si="72"/>
        <v>155.34</v>
      </c>
      <c s="190">
        <f t="shared" si="72"/>
        <v>219.18000000000001</v>
      </c>
      <c s="190">
        <f t="shared" si="72"/>
        <v>2.145</v>
      </c>
      <c s="190">
        <f t="shared" si="72"/>
        <v>0.023000000000000003</v>
      </c>
      <c s="190">
        <f t="shared" si="72"/>
        <v>95.760000000000019</v>
      </c>
      <c s="190">
        <f t="shared" si="72"/>
        <v>5.1699999999999999</v>
      </c>
    </row>
    <row r="313" spans="2:20" ht="15">
      <c r="B313" s="353" t="s">
        <v>226</v>
      </c>
      <c s="353"/>
      <c s="353"/>
      <c s="353"/>
      <c s="191">
        <f>F312/F320</f>
        <v>0.38831168831168827</v>
      </c>
      <c s="191">
        <f t="shared" si="73" ref="G313:T313">G312/G320</f>
        <v>0.32645569620253162</v>
      </c>
      <c s="191">
        <f t="shared" si="73"/>
        <v>0.22495522388059702</v>
      </c>
      <c s="191">
        <f t="shared" si="73"/>
        <v>0.2784127659574468</v>
      </c>
      <c s="191">
        <f t="shared" si="73"/>
        <v>0.42500000000000004</v>
      </c>
      <c s="191">
        <f t="shared" si="73"/>
        <v>0.29999999999999999</v>
      </c>
      <c s="191">
        <f t="shared" si="73"/>
        <v>0.86250000000000004</v>
      </c>
      <c s="191">
        <f t="shared" si="73"/>
        <v>0.22871428571428573</v>
      </c>
      <c s="191">
        <f t="shared" si="73"/>
        <v>0.48575000000000002</v>
      </c>
      <c s="191">
        <f t="shared" si="73"/>
        <v>0.14121818181818183</v>
      </c>
      <c s="191">
        <f t="shared" si="73"/>
        <v>0.19925454545454546</v>
      </c>
      <c s="191">
        <f t="shared" si="73"/>
        <v>0.2145</v>
      </c>
      <c s="191">
        <f t="shared" si="73"/>
        <v>0.23000000000000001</v>
      </c>
      <c s="191">
        <f t="shared" si="73"/>
        <v>0.3830400000000001</v>
      </c>
      <c s="191">
        <f t="shared" si="73"/>
        <v>0.43083333333333335</v>
      </c>
    </row>
    <row r="314" spans="2:20" ht="15">
      <c r="B314" s="353" t="s">
        <v>237</v>
      </c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</row>
    <row r="315" spans="2:20" ht="16.5" customHeight="1">
      <c r="B315" s="177" t="s">
        <v>224</v>
      </c>
      <c s="345" t="s">
        <v>282</v>
      </c>
      <c s="345"/>
      <c s="177">
        <v>65</v>
      </c>
      <c s="177">
        <v>4.1600000000000001</v>
      </c>
      <c s="177">
        <v>8.1400000000000006</v>
      </c>
      <c s="177">
        <v>33.799999999999997</v>
      </c>
      <c s="177">
        <v>225.34</v>
      </c>
      <c s="177">
        <v>0.059999999999999998</v>
      </c>
      <c s="177">
        <v>0.050000000000000003</v>
      </c>
      <c s="177">
        <v>0</v>
      </c>
      <c s="177">
        <v>0.059999999999999998</v>
      </c>
      <c s="177"/>
      <c s="177">
        <v>11.26</v>
      </c>
      <c s="177">
        <v>0</v>
      </c>
      <c s="177"/>
      <c s="177">
        <v>0</v>
      </c>
      <c s="177">
        <v>0</v>
      </c>
      <c s="177">
        <v>0.59999999999999998</v>
      </c>
    </row>
    <row r="316" spans="2:20" ht="26.25" customHeight="1">
      <c r="B316" s="177">
        <v>648</v>
      </c>
      <c s="345" t="s">
        <v>294</v>
      </c>
      <c s="345"/>
      <c s="177">
        <v>200</v>
      </c>
      <c s="177">
        <v>0</v>
      </c>
      <c s="177">
        <v>0</v>
      </c>
      <c s="177">
        <v>20</v>
      </c>
      <c s="177">
        <v>76</v>
      </c>
      <c s="177">
        <v>0</v>
      </c>
      <c s="177">
        <v>0</v>
      </c>
      <c s="177">
        <v>0</v>
      </c>
      <c s="177">
        <v>0</v>
      </c>
      <c s="177"/>
      <c s="177">
        <v>0.47999999999999998</v>
      </c>
      <c s="177">
        <v>0</v>
      </c>
      <c s="177">
        <v>0</v>
      </c>
      <c s="177">
        <v>0</v>
      </c>
      <c s="177">
        <v>0</v>
      </c>
      <c s="177">
        <v>0.059999999999999998</v>
      </c>
    </row>
    <row r="317" spans="2:20" ht="15" customHeight="1">
      <c r="B317" s="349" t="s">
        <v>240</v>
      </c>
      <c s="350"/>
      <c s="351"/>
      <c s="178">
        <f>SUM(E315:E316)</f>
        <v>265</v>
      </c>
      <c s="178">
        <f t="shared" si="74" ref="F317:T317">SUM(F315:F316)</f>
        <v>4.1600000000000001</v>
      </c>
      <c s="178">
        <f t="shared" si="74"/>
        <v>8.1400000000000006</v>
      </c>
      <c s="178">
        <f t="shared" si="74"/>
        <v>53.799999999999997</v>
      </c>
      <c s="178">
        <f t="shared" si="74"/>
        <v>301.34000000000003</v>
      </c>
      <c s="178">
        <f t="shared" si="74"/>
        <v>0.059999999999999998</v>
      </c>
      <c s="178">
        <f t="shared" si="74"/>
        <v>0.050000000000000003</v>
      </c>
      <c s="178">
        <f t="shared" si="74"/>
        <v>0</v>
      </c>
      <c s="178">
        <f t="shared" si="74"/>
        <v>0.059999999999999998</v>
      </c>
      <c s="178">
        <f t="shared" si="74"/>
        <v>0</v>
      </c>
      <c s="178">
        <f t="shared" si="74"/>
        <v>11.74</v>
      </c>
      <c s="178">
        <f t="shared" si="74"/>
        <v>0</v>
      </c>
      <c s="178">
        <f t="shared" si="74"/>
        <v>0</v>
      </c>
      <c s="178">
        <f t="shared" si="74"/>
        <v>0</v>
      </c>
      <c s="178">
        <f t="shared" si="74"/>
        <v>0</v>
      </c>
      <c s="178">
        <f t="shared" si="74"/>
        <v>0.65999999999999992</v>
      </c>
    </row>
    <row r="318" spans="2:20" ht="15">
      <c r="B318" s="353" t="s">
        <v>226</v>
      </c>
      <c s="353"/>
      <c s="353"/>
      <c s="353"/>
      <c s="191">
        <f>F317/F320</f>
        <v>0.054025974025974026</v>
      </c>
      <c s="191">
        <f t="shared" si="75" ref="G318:T318">G317/G320</f>
        <v>0.10303797468354431</v>
      </c>
      <c s="191">
        <f t="shared" si="75"/>
        <v>0.16059701492537312</v>
      </c>
      <c s="191">
        <f t="shared" si="75"/>
        <v>0.12822978723404257</v>
      </c>
      <c s="191">
        <f t="shared" si="75"/>
        <v>0.050000000000000003</v>
      </c>
      <c s="191">
        <f t="shared" si="75"/>
        <v>0.035714285714285719</v>
      </c>
      <c s="191">
        <f t="shared" si="75"/>
        <v>0</v>
      </c>
      <c s="191">
        <f t="shared" si="75"/>
        <v>0.085714285714285715</v>
      </c>
      <c s="191">
        <f t="shared" si="75"/>
        <v>0</v>
      </c>
      <c s="191">
        <f t="shared" si="75"/>
        <v>0.010672727272727273</v>
      </c>
      <c s="191">
        <f t="shared" si="75"/>
        <v>0</v>
      </c>
      <c s="191">
        <f t="shared" si="75"/>
        <v>0</v>
      </c>
      <c s="191">
        <f t="shared" si="75"/>
        <v>0</v>
      </c>
      <c s="191">
        <f t="shared" si="75"/>
        <v>0</v>
      </c>
      <c s="191">
        <f t="shared" si="75"/>
        <v>0.054999999999999993</v>
      </c>
    </row>
    <row r="319" spans="2:20" ht="15">
      <c r="B319" s="353" t="s">
        <v>241</v>
      </c>
      <c s="353"/>
      <c s="353"/>
      <c s="353"/>
      <c s="190">
        <f>F317+F312+F302</f>
        <v>55.049999999999997</v>
      </c>
      <c s="190">
        <f t="shared" si="76" ref="G319:T319">G317+G312+G302</f>
        <v>53.309999999999995</v>
      </c>
      <c s="190">
        <f t="shared" si="76"/>
        <v>221.08000000000001</v>
      </c>
      <c s="190">
        <f t="shared" si="76"/>
        <v>1565.54</v>
      </c>
      <c s="190">
        <f t="shared" si="76"/>
        <v>0.90900000000000003</v>
      </c>
      <c s="190">
        <f t="shared" si="76"/>
        <v>0.66999999999999993</v>
      </c>
      <c s="190">
        <f t="shared" si="76"/>
        <v>65.939999999999998</v>
      </c>
      <c s="190">
        <f t="shared" si="76"/>
        <v>0.2621</v>
      </c>
      <c s="190">
        <f t="shared" si="76"/>
        <v>7.0474999999999994</v>
      </c>
      <c s="190">
        <f t="shared" si="76"/>
        <v>224.31</v>
      </c>
      <c s="190">
        <f t="shared" si="76"/>
        <v>453.54000000000002</v>
      </c>
      <c s="190">
        <f t="shared" si="76"/>
        <v>4.9870000000000001</v>
      </c>
      <c s="190">
        <f t="shared" si="76"/>
        <v>0.059000000000000011</v>
      </c>
      <c s="190">
        <f t="shared" si="76"/>
        <v>137.72000000000003</v>
      </c>
      <c s="190">
        <f t="shared" si="76"/>
        <v>11.300000000000001</v>
      </c>
    </row>
    <row r="320" spans="2:20" ht="15">
      <c r="B320" s="353" t="s">
        <v>242</v>
      </c>
      <c s="353"/>
      <c s="353"/>
      <c s="353"/>
      <c s="173">
        <v>77</v>
      </c>
      <c s="173">
        <v>79</v>
      </c>
      <c s="173">
        <v>335</v>
      </c>
      <c s="173">
        <v>2350</v>
      </c>
      <c s="173">
        <v>1.2</v>
      </c>
      <c s="173">
        <v>1.3999999999999999</v>
      </c>
      <c s="173">
        <v>60</v>
      </c>
      <c s="173">
        <v>0.69999999999999996</v>
      </c>
      <c s="173">
        <v>10</v>
      </c>
      <c s="173">
        <v>1100</v>
      </c>
      <c s="173">
        <v>1100</v>
      </c>
      <c s="173">
        <v>10</v>
      </c>
      <c s="173">
        <v>0.10000000000000001</v>
      </c>
      <c s="173">
        <v>250</v>
      </c>
      <c s="173">
        <v>12</v>
      </c>
    </row>
    <row r="321" spans="2:20" ht="15">
      <c r="B321" s="353" t="s">
        <v>226</v>
      </c>
      <c s="353"/>
      <c s="353"/>
      <c s="353"/>
      <c s="191">
        <f>F319/F320</f>
        <v>0.71493506493506487</v>
      </c>
      <c s="191">
        <f t="shared" si="77" ref="G321:T321">G319/G320</f>
        <v>0.67481012658227846</v>
      </c>
      <c s="191">
        <f t="shared" si="77"/>
        <v>0.65994029850746272</v>
      </c>
      <c s="191">
        <f t="shared" si="77"/>
        <v>0.6661872340425532</v>
      </c>
      <c s="191">
        <f t="shared" si="77"/>
        <v>0.75750000000000006</v>
      </c>
      <c s="191">
        <f t="shared" si="77"/>
        <v>0.47857142857142854</v>
      </c>
      <c s="191">
        <f t="shared" si="77"/>
        <v>1.099</v>
      </c>
      <c s="191">
        <f t="shared" si="77"/>
        <v>0.37442857142857144</v>
      </c>
      <c s="191">
        <f t="shared" si="77"/>
        <v>0.70474999999999999</v>
      </c>
      <c s="191">
        <f t="shared" si="77"/>
        <v>0.20391818181818183</v>
      </c>
      <c s="191">
        <f t="shared" si="77"/>
        <v>0.4123090909090909</v>
      </c>
      <c s="191">
        <f t="shared" si="77"/>
        <v>0.49870000000000003</v>
      </c>
      <c s="191">
        <f t="shared" si="77"/>
        <v>0.59000000000000008</v>
      </c>
      <c s="191">
        <f t="shared" si="77"/>
        <v>0.55088000000000015</v>
      </c>
      <c s="191">
        <f t="shared" si="77"/>
        <v>0.94166666666666676</v>
      </c>
    </row>
    <row r="322" spans="2:20" ht="15">
      <c r="B322" s="172"/>
      <c s="173"/>
      <c s="173"/>
      <c s="173"/>
      <c s="173"/>
      <c s="173"/>
      <c s="173"/>
      <c s="173"/>
      <c s="173"/>
      <c s="173"/>
      <c s="173"/>
      <c s="356" t="s">
        <v>187</v>
      </c>
      <c s="356"/>
      <c s="356"/>
      <c s="356"/>
      <c s="356"/>
      <c s="356"/>
      <c s="356"/>
      <c s="356"/>
    </row>
    <row r="323" spans="2:20" ht="15">
      <c r="B323" s="353" t="s">
        <v>325</v>
      </c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</row>
    <row r="324" spans="2:20" ht="15">
      <c r="B324" s="353" t="s">
        <v>189</v>
      </c>
      <c s="353"/>
      <c s="173"/>
      <c s="173"/>
      <c s="173"/>
      <c s="356" t="s">
        <v>285</v>
      </c>
      <c s="356"/>
      <c s="356"/>
      <c s="173"/>
      <c s="173"/>
      <c s="353" t="s">
        <v>191</v>
      </c>
      <c s="353"/>
      <c s="356" t="s">
        <v>192</v>
      </c>
      <c s="356"/>
      <c s="356"/>
      <c s="356"/>
      <c s="173"/>
      <c s="173"/>
      <c s="173"/>
    </row>
    <row r="325" spans="2:20" ht="15">
      <c r="B325" s="173"/>
      <c s="173"/>
      <c s="173"/>
      <c s="353" t="s">
        <v>194</v>
      </c>
      <c s="353"/>
      <c s="173">
        <v>2</v>
      </c>
      <c s="173"/>
      <c s="173"/>
      <c s="173"/>
      <c s="173"/>
      <c s="353" t="s">
        <v>195</v>
      </c>
      <c s="353"/>
      <c s="356" t="s">
        <v>196</v>
      </c>
      <c s="356"/>
      <c s="356"/>
      <c s="356"/>
      <c s="356"/>
      <c s="356"/>
      <c s="356"/>
    </row>
    <row r="326" spans="2:20" ht="15">
      <c r="B326" s="174" t="s">
        <v>0</v>
      </c>
      <c s="354" t="s">
        <v>198</v>
      </c>
      <c s="354"/>
      <c s="354" t="s">
        <v>199</v>
      </c>
      <c s="354" t="s">
        <v>200</v>
      </c>
      <c s="354"/>
      <c s="354"/>
      <c s="174" t="s">
        <v>201</v>
      </c>
      <c s="354" t="s">
        <v>202</v>
      </c>
      <c s="354"/>
      <c s="354"/>
      <c s="354"/>
      <c s="354"/>
      <c s="354" t="s">
        <v>203</v>
      </c>
      <c s="354"/>
      <c s="354"/>
      <c s="354"/>
      <c s="354"/>
      <c s="354"/>
    </row>
    <row r="327" spans="2:20" ht="51">
      <c r="B327" s="174" t="s">
        <v>245</v>
      </c>
      <c s="354"/>
      <c s="354"/>
      <c s="354"/>
      <c s="174" t="s">
        <v>204</v>
      </c>
      <c s="174" t="s">
        <v>205</v>
      </c>
      <c s="174" t="s">
        <v>206</v>
      </c>
      <c s="174" t="s">
        <v>207</v>
      </c>
      <c s="174" t="s">
        <v>208</v>
      </c>
      <c s="174" t="s">
        <v>209</v>
      </c>
      <c s="174" t="s">
        <v>210</v>
      </c>
      <c s="174" t="s">
        <v>211</v>
      </c>
      <c s="174" t="s">
        <v>212</v>
      </c>
      <c s="174" t="s">
        <v>213</v>
      </c>
      <c s="174" t="s">
        <v>214</v>
      </c>
      <c s="174" t="s">
        <v>215</v>
      </c>
      <c s="174" t="s">
        <v>216</v>
      </c>
      <c s="174" t="s">
        <v>217</v>
      </c>
      <c s="174" t="s">
        <v>218</v>
      </c>
    </row>
    <row r="328" spans="2:20" ht="15">
      <c r="B328" s="175">
        <v>1</v>
      </c>
      <c s="355">
        <v>2</v>
      </c>
      <c s="355"/>
      <c s="175">
        <v>3</v>
      </c>
      <c s="175">
        <v>4</v>
      </c>
      <c s="175">
        <v>5</v>
      </c>
      <c s="175">
        <v>6</v>
      </c>
      <c s="175">
        <v>7</v>
      </c>
      <c s="175">
        <v>8</v>
      </c>
      <c s="175">
        <v>9</v>
      </c>
      <c s="175">
        <v>10</v>
      </c>
      <c s="175">
        <v>11</v>
      </c>
      <c s="175">
        <v>12</v>
      </c>
      <c s="175">
        <v>13</v>
      </c>
      <c s="175">
        <v>14</v>
      </c>
      <c s="175">
        <v>15</v>
      </c>
      <c s="175">
        <v>16</v>
      </c>
      <c s="175">
        <v>17</v>
      </c>
      <c s="175">
        <v>18</v>
      </c>
    </row>
    <row r="329" spans="2:20" ht="15">
      <c r="B329" s="353" t="s">
        <v>219</v>
      </c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</row>
    <row r="330" spans="2:20" ht="29.25" customHeight="1">
      <c r="B330" s="241" t="s">
        <v>340</v>
      </c>
      <c s="344" t="s">
        <v>339</v>
      </c>
      <c s="344"/>
      <c s="177">
        <v>40</v>
      </c>
      <c s="242">
        <v>1.1200000000000001</v>
      </c>
      <c s="242">
        <v>0</v>
      </c>
      <c s="242">
        <v>0.52000000000000002</v>
      </c>
      <c s="241">
        <v>6.4400000000000004</v>
      </c>
      <c s="242">
        <v>0</v>
      </c>
      <c s="242">
        <v>0</v>
      </c>
      <c s="242">
        <v>0</v>
      </c>
      <c s="242">
        <v>0</v>
      </c>
      <c s="242">
        <v>0</v>
      </c>
      <c s="242">
        <v>0</v>
      </c>
      <c s="242">
        <v>0</v>
      </c>
      <c s="242">
        <v>0</v>
      </c>
      <c s="242">
        <v>0</v>
      </c>
      <c s="242">
        <v>0</v>
      </c>
      <c s="242">
        <v>0</v>
      </c>
    </row>
    <row r="331" spans="2:20" ht="27" customHeight="1">
      <c r="B331" s="184">
        <v>71</v>
      </c>
      <c s="345" t="s">
        <v>338</v>
      </c>
      <c s="345"/>
      <c s="184">
        <v>40</v>
      </c>
      <c s="184">
        <v>0.33000000000000002</v>
      </c>
      <c s="184">
        <v>0.040000000000000001</v>
      </c>
      <c s="184">
        <v>1.1299999999999999</v>
      </c>
      <c s="184">
        <v>6.2300000000000004</v>
      </c>
      <c s="184">
        <v>0.0089999999999999993</v>
      </c>
      <c s="184">
        <v>0.01</v>
      </c>
      <c s="184">
        <v>3</v>
      </c>
      <c s="184">
        <v>0.0030000000000000001</v>
      </c>
      <c s="184">
        <v>0.029999999999999999</v>
      </c>
      <c s="184">
        <v>6.9000000000000004</v>
      </c>
      <c s="184">
        <v>12.6</v>
      </c>
      <c s="184">
        <v>0.064000000000000001</v>
      </c>
      <c s="184">
        <v>0.001</v>
      </c>
      <c s="184">
        <v>4.2000000000000002</v>
      </c>
      <c s="184">
        <v>0.17999999999999999</v>
      </c>
    </row>
    <row r="332" spans="2:20" ht="30" customHeight="1">
      <c r="B332" s="173">
        <v>15</v>
      </c>
      <c s="352" t="s">
        <v>221</v>
      </c>
      <c s="352"/>
      <c s="173">
        <v>20</v>
      </c>
      <c s="173">
        <v>4.6399999999999997</v>
      </c>
      <c s="173">
        <v>6.7999999999999998</v>
      </c>
      <c s="173">
        <v>0.02</v>
      </c>
      <c s="173">
        <v>79.799999999999997</v>
      </c>
      <c s="173">
        <v>0.01</v>
      </c>
      <c s="173">
        <v>0.059999999999999998</v>
      </c>
      <c s="173">
        <v>0.14000000000000001</v>
      </c>
      <c s="173">
        <v>0.045999999999999999</v>
      </c>
      <c s="173">
        <v>0.10000000000000001</v>
      </c>
      <c s="173">
        <v>176</v>
      </c>
      <c s="173">
        <v>100</v>
      </c>
      <c s="173">
        <v>0.80000000000000004</v>
      </c>
      <c s="173">
        <v>0.040000000000000001</v>
      </c>
      <c s="173">
        <v>7</v>
      </c>
      <c s="173">
        <v>0.26000000000000001</v>
      </c>
    </row>
    <row r="333" spans="2:20" ht="25.5" customHeight="1">
      <c r="B333" s="173">
        <v>210</v>
      </c>
      <c s="352" t="s">
        <v>287</v>
      </c>
      <c s="352"/>
      <c s="173">
        <v>200</v>
      </c>
      <c s="173">
        <v>18.579999999999998</v>
      </c>
      <c s="173">
        <v>33.100000000000001</v>
      </c>
      <c s="173">
        <v>3.52</v>
      </c>
      <c s="173">
        <v>386.19999999999999</v>
      </c>
      <c s="173">
        <v>0.14000000000000001</v>
      </c>
      <c s="173">
        <v>0.68000000000000005</v>
      </c>
      <c s="173">
        <v>0.34000000000000002</v>
      </c>
      <c s="173">
        <v>0.14000000000000001</v>
      </c>
      <c s="173"/>
      <c s="173">
        <v>137.44</v>
      </c>
      <c s="173">
        <v>301.04000000000002</v>
      </c>
      <c s="173"/>
      <c s="173">
        <v>0</v>
      </c>
      <c s="173">
        <v>21.52</v>
      </c>
      <c s="173">
        <v>3.52</v>
      </c>
    </row>
    <row r="334" spans="2:20" ht="18.75" customHeight="1">
      <c r="B334" s="173">
        <v>341</v>
      </c>
      <c s="352" t="s">
        <v>300</v>
      </c>
      <c s="352"/>
      <c s="173">
        <v>100</v>
      </c>
      <c s="173">
        <v>0.90000000000000002</v>
      </c>
      <c s="173">
        <v>0.20000000000000001</v>
      </c>
      <c s="173">
        <v>8.0999999999999996</v>
      </c>
      <c s="173">
        <v>35.799999999999997</v>
      </c>
      <c s="173">
        <v>0.040000000000000001</v>
      </c>
      <c s="173">
        <v>0.029999999999999999</v>
      </c>
      <c s="173">
        <v>60</v>
      </c>
      <c s="173">
        <v>0.01</v>
      </c>
      <c s="173">
        <v>0.20000000000000001</v>
      </c>
      <c s="173">
        <v>34</v>
      </c>
      <c s="173">
        <v>23</v>
      </c>
      <c s="173">
        <v>0.20000000000000001</v>
      </c>
      <c s="173">
        <v>0</v>
      </c>
      <c s="173">
        <v>15</v>
      </c>
      <c s="173">
        <v>0.29999999999999999</v>
      </c>
    </row>
    <row r="335" spans="2:20" ht="15">
      <c r="B335" s="173">
        <v>376</v>
      </c>
      <c s="352" t="s">
        <v>141</v>
      </c>
      <c s="352"/>
      <c s="173">
        <v>200</v>
      </c>
      <c s="173">
        <v>0.20000000000000001</v>
      </c>
      <c s="173">
        <v>0.050000000000000003</v>
      </c>
      <c s="173">
        <v>15.01</v>
      </c>
      <c s="173">
        <v>61</v>
      </c>
      <c s="173">
        <v>0</v>
      </c>
      <c s="173">
        <v>0.01</v>
      </c>
      <c s="173">
        <v>9</v>
      </c>
      <c s="173">
        <v>0.0001</v>
      </c>
      <c s="173">
        <v>0.044999999999999998</v>
      </c>
      <c s="173">
        <v>5.25</v>
      </c>
      <c s="173">
        <v>8.2400000000000002</v>
      </c>
      <c s="173">
        <v>0.0080000000000000002</v>
      </c>
      <c s="173">
        <v>0</v>
      </c>
      <c s="173">
        <v>4.4000000000000004</v>
      </c>
      <c s="173">
        <v>0.87</v>
      </c>
    </row>
    <row r="336" spans="2:20" ht="18" customHeight="1">
      <c r="B336" s="173" t="s">
        <v>224</v>
      </c>
      <c s="352" t="s">
        <v>302</v>
      </c>
      <c s="352"/>
      <c s="173">
        <v>40</v>
      </c>
      <c s="173">
        <v>2.6699999999999999</v>
      </c>
      <c s="173">
        <v>0.53000000000000003</v>
      </c>
      <c s="173">
        <v>13.73</v>
      </c>
      <c s="173">
        <v>70.400000000000006</v>
      </c>
      <c s="173">
        <v>0.13</v>
      </c>
      <c s="173">
        <v>0.012999999999999999</v>
      </c>
      <c s="173">
        <v>0.10000000000000001</v>
      </c>
      <c s="173">
        <v>0</v>
      </c>
      <c s="173">
        <v>0.93000000000000005</v>
      </c>
      <c s="173">
        <v>14</v>
      </c>
      <c s="173">
        <v>63.200000000000003</v>
      </c>
      <c s="173">
        <v>0.012999999999999999</v>
      </c>
      <c s="173">
        <v>0.012999999999999999</v>
      </c>
      <c s="173">
        <v>18.800000000000001</v>
      </c>
      <c s="173">
        <v>1.6000000000000001</v>
      </c>
    </row>
    <row r="337" spans="2:20" ht="15">
      <c r="B337" s="353" t="s">
        <v>225</v>
      </c>
      <c s="353"/>
      <c s="353"/>
      <c s="190">
        <f>SUM(E331:E336)</f>
        <v>600</v>
      </c>
      <c s="190">
        <f>SUM(F331:F336)</f>
        <v>27.319999999999993</v>
      </c>
      <c s="190">
        <f t="shared" si="78" ref="G337:T337">SUM(G331:G336)</f>
        <v>40.719999999999999</v>
      </c>
      <c s="190">
        <f t="shared" si="78"/>
        <v>41.510000000000005</v>
      </c>
      <c s="190">
        <f t="shared" si="78"/>
        <v>639.42999999999995</v>
      </c>
      <c s="190">
        <f t="shared" si="78"/>
        <v>0.32900000000000001</v>
      </c>
      <c s="190">
        <f t="shared" si="78"/>
        <v>0.80300000000000005</v>
      </c>
      <c s="190">
        <f t="shared" si="78"/>
        <v>72.579999999999984</v>
      </c>
      <c s="190">
        <f t="shared" si="78"/>
        <v>0.1991</v>
      </c>
      <c s="190">
        <f t="shared" si="78"/>
        <v>1.3050000000000002</v>
      </c>
      <c s="190">
        <f t="shared" si="78"/>
        <v>373.59000000000003</v>
      </c>
      <c s="190">
        <f t="shared" si="78"/>
        <v>508.07999999999998</v>
      </c>
      <c s="190">
        <f t="shared" si="78"/>
        <v>1.085</v>
      </c>
      <c s="190">
        <f t="shared" si="78"/>
        <v>0.053999999999999999</v>
      </c>
      <c s="190">
        <f t="shared" si="78"/>
        <v>70.920000000000002</v>
      </c>
      <c s="190">
        <f t="shared" si="78"/>
        <v>6.7300000000000004</v>
      </c>
    </row>
    <row r="338" spans="2:20" ht="15">
      <c r="B338" s="353" t="s">
        <v>226</v>
      </c>
      <c s="353"/>
      <c s="353"/>
      <c s="353"/>
      <c s="191">
        <f>F337/F355</f>
        <v>0.35480519480519473</v>
      </c>
      <c s="191">
        <f t="shared" si="79" ref="G338:T338">G337/G355</f>
        <v>0.51544303797468349</v>
      </c>
      <c s="191">
        <f t="shared" si="79"/>
        <v>0.12391044776119405</v>
      </c>
      <c s="191">
        <f t="shared" si="79"/>
        <v>0.27209787234042548</v>
      </c>
      <c s="191">
        <f t="shared" si="79"/>
        <v>0.27416666666666667</v>
      </c>
      <c s="191">
        <f t="shared" si="79"/>
        <v>0.57357142857142862</v>
      </c>
      <c s="192">
        <f t="shared" si="79"/>
        <v>1.2096666666666664</v>
      </c>
      <c s="191">
        <f t="shared" si="79"/>
        <v>0.28442857142857142</v>
      </c>
      <c s="191">
        <f t="shared" si="79"/>
        <v>0.1305</v>
      </c>
      <c s="191">
        <f t="shared" si="79"/>
        <v>0.33962727272727278</v>
      </c>
      <c s="191">
        <f t="shared" si="79"/>
        <v>0.46189090909090907</v>
      </c>
      <c s="191">
        <f t="shared" si="79"/>
        <v>0.1085</v>
      </c>
      <c s="191">
        <f t="shared" si="79"/>
        <v>0.53999999999999992</v>
      </c>
      <c s="191">
        <f t="shared" si="79"/>
        <v>0.28367999999999999</v>
      </c>
      <c s="191">
        <f t="shared" si="79"/>
        <v>0.56083333333333341</v>
      </c>
    </row>
    <row r="339" spans="2:20" ht="15">
      <c r="B339" s="353" t="s">
        <v>227</v>
      </c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  <c s="353"/>
    </row>
    <row r="340" spans="2:20" ht="19.5" customHeight="1">
      <c r="B340" s="173">
        <v>115</v>
      </c>
      <c s="352" t="s">
        <v>279</v>
      </c>
      <c s="352"/>
      <c s="173">
        <v>60</v>
      </c>
      <c s="173">
        <v>1.1399999999999999</v>
      </c>
      <c s="173">
        <v>5.3399999999999999</v>
      </c>
      <c s="173">
        <v>4.6200000000000001</v>
      </c>
      <c s="173">
        <v>71.400000000000006</v>
      </c>
      <c s="173">
        <v>0.01</v>
      </c>
      <c s="173">
        <v>0</v>
      </c>
      <c s="173">
        <v>4.2000000000000002</v>
      </c>
      <c s="173">
        <v>0.01</v>
      </c>
      <c s="173"/>
      <c s="173">
        <v>24.600000000000001</v>
      </c>
      <c s="173">
        <v>22.199999999999999</v>
      </c>
      <c s="173"/>
      <c s="173">
        <v>0</v>
      </c>
      <c s="173">
        <v>9</v>
      </c>
      <c s="173">
        <v>0.41999999999999998</v>
      </c>
    </row>
    <row r="341" spans="2:20" ht="17.25" customHeight="1">
      <c r="B341" s="173">
        <v>103</v>
      </c>
      <c s="352" t="s">
        <v>326</v>
      </c>
      <c s="352"/>
      <c s="173">
        <v>200</v>
      </c>
      <c s="173">
        <v>2.1600000000000001</v>
      </c>
      <c s="173">
        <v>2.7999999999999998</v>
      </c>
      <c s="173">
        <v>13.960000000000001</v>
      </c>
      <c s="173">
        <v>94.599999999999994</v>
      </c>
      <c s="173">
        <v>0.080000000000000002</v>
      </c>
      <c s="173">
        <v>0.040000000000000001</v>
      </c>
      <c s="173">
        <v>6.5999999999999996</v>
      </c>
      <c s="173">
        <v>0.080000000000000002</v>
      </c>
      <c s="173">
        <v>0</v>
      </c>
      <c s="173">
        <v>23.359999999999999</v>
      </c>
      <c s="173">
        <v>54.060000000000002</v>
      </c>
      <c s="173">
        <v>0</v>
      </c>
      <c s="173">
        <v>0</v>
      </c>
      <c s="173">
        <v>21.82</v>
      </c>
      <c s="173">
        <v>0.90000000000000002</v>
      </c>
    </row>
    <row r="342" spans="2:20" ht="28.5" customHeight="1">
      <c r="B342" s="173">
        <v>295</v>
      </c>
      <c s="352" t="s">
        <v>291</v>
      </c>
      <c s="352"/>
      <c s="173">
        <v>90</v>
      </c>
      <c s="173">
        <v>13.699999999999999</v>
      </c>
      <c s="173">
        <v>5.2000000000000002</v>
      </c>
      <c s="173">
        <v>9.0999999999999996</v>
      </c>
      <c s="173">
        <v>138.41999999999999</v>
      </c>
      <c s="173">
        <v>0.081000000000000003</v>
      </c>
      <c s="173">
        <v>0.070000000000000007</v>
      </c>
      <c s="173">
        <v>0.22</v>
      </c>
      <c s="173">
        <v>0.00089999999999999998</v>
      </c>
      <c s="173">
        <v>0.066600000000000006</v>
      </c>
      <c s="173">
        <v>12.6</v>
      </c>
      <c s="173">
        <v>84.599999999999994</v>
      </c>
      <c s="173">
        <v>1.05</v>
      </c>
      <c s="173">
        <v>0.035999999999999997</v>
      </c>
      <c s="173">
        <v>14.6</v>
      </c>
      <c s="173">
        <v>1.7</v>
      </c>
    </row>
    <row r="343" spans="2:20" ht="26.25" customHeight="1">
      <c r="B343" s="173">
        <v>173</v>
      </c>
      <c s="352" t="s">
        <v>327</v>
      </c>
      <c s="352"/>
      <c s="173">
        <v>150</v>
      </c>
      <c s="173">
        <v>6.5700000000000003</v>
      </c>
      <c s="173">
        <v>4.1900000000000004</v>
      </c>
      <c s="173">
        <v>32.32</v>
      </c>
      <c s="173">
        <v>193.27000000000001</v>
      </c>
      <c s="173">
        <v>0.059999999999999998</v>
      </c>
      <c s="173">
        <v>0.029999999999999999</v>
      </c>
      <c s="173">
        <v>0</v>
      </c>
      <c s="173">
        <v>0.029999999999999999</v>
      </c>
      <c s="173">
        <v>2.5499999999999998</v>
      </c>
      <c s="173">
        <v>18.120000000000001</v>
      </c>
      <c s="173">
        <v>157.03</v>
      </c>
      <c s="173">
        <v>0.89000000000000001</v>
      </c>
      <c s="173">
        <v>0.0014</v>
      </c>
      <c s="173">
        <v>104.45</v>
      </c>
      <c s="173">
        <v>3.5499999999999998</v>
      </c>
    </row>
    <row r="344" spans="2:20" ht="15">
      <c r="B344" s="173">
        <v>389</v>
      </c>
      <c s="352" t="s">
        <v>283</v>
      </c>
      <c s="352"/>
      <c s="173">
        <v>200</v>
      </c>
      <c s="173">
        <v>1</v>
      </c>
      <c s="173">
        <v>0.20000000000000001</v>
      </c>
      <c s="173">
        <v>20.199999999999999</v>
      </c>
      <c s="173">
        <v>87</v>
      </c>
      <c s="173">
        <v>0</v>
      </c>
      <c s="173">
        <v>0.080000000000000002</v>
      </c>
      <c s="173">
        <v>4</v>
      </c>
      <c s="173">
        <v>0</v>
      </c>
      <c s="173">
        <v>0</v>
      </c>
      <c s="173">
        <v>31.100000000000001</v>
      </c>
      <c s="173">
        <v>18</v>
      </c>
      <c s="173">
        <v>0</v>
      </c>
      <c s="173">
        <v>0</v>
      </c>
      <c s="173">
        <v>8</v>
      </c>
      <c s="173">
        <v>0.71999999999999997</v>
      </c>
    </row>
    <row r="345" spans="2:20" ht="19.5" customHeight="1">
      <c r="B345" s="173" t="s">
        <v>224</v>
      </c>
      <c s="352" t="s">
        <v>235</v>
      </c>
      <c s="352"/>
      <c s="173">
        <v>40</v>
      </c>
      <c s="173">
        <v>2.6400000000000001</v>
      </c>
      <c s="173">
        <v>0.47999999999999998</v>
      </c>
      <c s="173">
        <v>13.68</v>
      </c>
      <c s="173">
        <v>69.599999999999994</v>
      </c>
      <c s="173">
        <v>0.080000000000000002</v>
      </c>
      <c s="173">
        <v>0.040000000000000001</v>
      </c>
      <c s="173">
        <v>0</v>
      </c>
      <c s="173">
        <v>0</v>
      </c>
      <c s="173">
        <v>2.3999999999999999</v>
      </c>
      <c s="173">
        <v>14</v>
      </c>
      <c s="173">
        <v>63.200000000000003</v>
      </c>
      <c s="173">
        <v>1.2</v>
      </c>
      <c s="173">
        <v>0.001</v>
      </c>
      <c s="173">
        <v>9.4000000000000004</v>
      </c>
      <c s="173">
        <v>0.78000000000000003</v>
      </c>
    </row>
    <row r="346" spans="2:20" ht="15">
      <c r="B346" s="173" t="s">
        <v>224</v>
      </c>
      <c s="352" t="s">
        <v>117</v>
      </c>
      <c s="352"/>
      <c s="173">
        <v>30</v>
      </c>
      <c s="173">
        <v>1.52</v>
      </c>
      <c s="173">
        <v>0.16</v>
      </c>
      <c s="173">
        <v>9.8399999999999999</v>
      </c>
      <c s="173">
        <v>46.899999999999999</v>
      </c>
      <c s="173">
        <v>0.02</v>
      </c>
      <c s="173">
        <v>0.01</v>
      </c>
      <c s="173">
        <v>0.44</v>
      </c>
      <c s="173">
        <v>0</v>
      </c>
      <c s="173">
        <v>0.69999999999999996</v>
      </c>
      <c s="173">
        <v>4</v>
      </c>
      <c s="173">
        <v>13</v>
      </c>
      <c s="173">
        <v>0.0080000000000000002</v>
      </c>
      <c s="173">
        <v>0.001</v>
      </c>
      <c s="173">
        <v>0</v>
      </c>
      <c s="173">
        <v>0.22</v>
      </c>
    </row>
    <row r="347" spans="2:20" ht="26.25" customHeight="1">
      <c r="B347" s="353" t="s">
        <v>236</v>
      </c>
      <c s="353"/>
      <c s="353"/>
      <c s="190">
        <f>SUM(E340:E346)</f>
        <v>770</v>
      </c>
      <c s="190">
        <f t="shared" si="80" ref="F347:T347">SUM(F340:F346)</f>
        <v>28.73</v>
      </c>
      <c s="190">
        <f t="shared" si="80"/>
        <v>18.370000000000001</v>
      </c>
      <c s="190">
        <f t="shared" si="80"/>
        <v>103.72</v>
      </c>
      <c s="190">
        <f t="shared" si="80"/>
        <v>701.18999999999994</v>
      </c>
      <c s="190">
        <f t="shared" si="80"/>
        <v>0.33100000000000002</v>
      </c>
      <c s="190">
        <f t="shared" si="80"/>
        <v>0.27000000000000002</v>
      </c>
      <c s="190">
        <f t="shared" si="80"/>
        <v>15.460000000000001</v>
      </c>
      <c s="190">
        <f t="shared" si="80"/>
        <v>0.12089999999999999</v>
      </c>
      <c s="190">
        <f t="shared" si="80"/>
        <v>5.7166000000000006</v>
      </c>
      <c s="190">
        <f t="shared" si="80"/>
        <v>127.78</v>
      </c>
      <c s="190">
        <f t="shared" si="80"/>
        <v>412.08999999999997</v>
      </c>
      <c s="190">
        <f t="shared" si="80"/>
        <v>3.1479999999999997</v>
      </c>
      <c s="190">
        <f t="shared" si="80"/>
        <v>0.039399999999999998</v>
      </c>
      <c s="190">
        <f t="shared" si="80"/>
        <v>167.27000000000001</v>
      </c>
      <c s="190">
        <f t="shared" si="80"/>
        <v>8.2900000000000009</v>
      </c>
    </row>
    <row r="348" spans="2:20" ht="15">
      <c r="B348" s="353" t="s">
        <v>226</v>
      </c>
      <c s="353"/>
      <c s="353"/>
      <c s="353"/>
      <c s="191">
        <f>F347/F355</f>
        <v>0.37311688311688312</v>
      </c>
      <c s="191">
        <f t="shared" si="81" ref="G348:T348">G347/G355</f>
        <v>0.23253164556962028</v>
      </c>
      <c s="191">
        <f t="shared" si="81"/>
        <v>0.30961194029850747</v>
      </c>
      <c s="191">
        <f t="shared" si="81"/>
        <v>0.29837872340425531</v>
      </c>
      <c s="191">
        <f t="shared" si="81"/>
        <v>0.27583333333333337</v>
      </c>
      <c s="191">
        <f t="shared" si="81"/>
        <v>0.19285714285714289</v>
      </c>
      <c s="191">
        <f t="shared" si="81"/>
        <v>0.25766666666666665</v>
      </c>
      <c s="191">
        <f t="shared" si="81"/>
        <v>0.17271428571428571</v>
      </c>
      <c s="191">
        <f t="shared" si="81"/>
        <v>0.57166000000000006</v>
      </c>
      <c s="191">
        <f t="shared" si="81"/>
        <v>0.11616363636363636</v>
      </c>
      <c s="191">
        <f t="shared" si="81"/>
        <v>0.3746272727272727</v>
      </c>
      <c s="191">
        <f t="shared" si="81"/>
        <v>0.31479999999999997</v>
      </c>
      <c s="191">
        <f t="shared" si="81"/>
        <v>0.39399999999999996</v>
      </c>
      <c s="191">
        <f t="shared" si="81"/>
        <v>0.66908000000000001</v>
      </c>
      <c s="191">
        <f t="shared" si="81"/>
        <v>0.69083333333333341</v>
      </c>
    </row>
    <row r="349" spans="2:20" ht="15">
      <c r="B349" s="348" t="s">
        <v>237</v>
      </c>
      <c s="348"/>
      <c s="348"/>
      <c s="348"/>
      <c s="348"/>
      <c s="348"/>
      <c s="348"/>
      <c s="348"/>
      <c s="348"/>
      <c s="348"/>
      <c s="348"/>
      <c s="348"/>
      <c s="348"/>
      <c s="348"/>
      <c s="348"/>
      <c s="348"/>
      <c s="348"/>
      <c s="348"/>
      <c s="348"/>
    </row>
    <row r="350" spans="2:20" ht="15" customHeight="1">
      <c r="B350" s="177" t="s">
        <v>224</v>
      </c>
      <c s="345" t="s">
        <v>257</v>
      </c>
      <c s="345"/>
      <c s="177">
        <v>80</v>
      </c>
      <c s="177">
        <v>5.9500000000000002</v>
      </c>
      <c s="177">
        <v>6.0499999999999998</v>
      </c>
      <c s="177">
        <v>38.219999999999999</v>
      </c>
      <c s="177">
        <v>231.11000000000001</v>
      </c>
      <c s="177">
        <v>0.059999999999999998</v>
      </c>
      <c s="177">
        <v>0.059999999999999998</v>
      </c>
      <c s="177">
        <v>0.02</v>
      </c>
      <c s="177">
        <v>0.059999999999999998</v>
      </c>
      <c s="177"/>
      <c s="177">
        <v>19.489999999999998</v>
      </c>
      <c s="177">
        <v>55.890000000000001</v>
      </c>
      <c s="177"/>
      <c s="177">
        <v>0</v>
      </c>
      <c s="177">
        <v>8.2699999999999996</v>
      </c>
      <c s="177">
        <v>0.69999999999999996</v>
      </c>
    </row>
    <row r="351" spans="2:20" ht="15" customHeight="1">
      <c r="B351" s="177">
        <v>377</v>
      </c>
      <c s="345" t="s">
        <v>149</v>
      </c>
      <c s="345"/>
      <c s="177" t="s">
        <v>151</v>
      </c>
      <c s="177">
        <v>0.26000000000000001</v>
      </c>
      <c s="177">
        <v>0.059999999999999998</v>
      </c>
      <c s="177">
        <v>15.220000000000001</v>
      </c>
      <c s="177">
        <v>62.5</v>
      </c>
      <c s="177"/>
      <c s="177">
        <v>0.01</v>
      </c>
      <c s="177">
        <v>2.8999999999999999</v>
      </c>
      <c s="177">
        <v>0</v>
      </c>
      <c s="177">
        <v>0.059999999999999998</v>
      </c>
      <c s="177">
        <v>8.0500000000000007</v>
      </c>
      <c s="177">
        <v>9.7799999999999994</v>
      </c>
      <c s="177">
        <v>0.017000000000000001</v>
      </c>
      <c s="177">
        <v>0</v>
      </c>
      <c s="177">
        <v>5.2400000000000002</v>
      </c>
      <c s="177">
        <v>0.87</v>
      </c>
    </row>
    <row r="352" spans="2:20" ht="15">
      <c r="B352" s="349" t="s">
        <v>240</v>
      </c>
      <c s="350"/>
      <c s="351"/>
      <c s="178">
        <f>E350+204</f>
        <v>284</v>
      </c>
      <c s="178">
        <f>SUM(F350:F351)</f>
        <v>6.21</v>
      </c>
      <c s="178">
        <f t="shared" si="82" ref="G352:T352">SUM(G350:G351)</f>
        <v>6.1099999999999994</v>
      </c>
      <c s="178">
        <f t="shared" si="82"/>
        <v>53.439999999999998</v>
      </c>
      <c s="178">
        <f t="shared" si="82"/>
        <v>293.61000000000001</v>
      </c>
      <c s="178">
        <f t="shared" si="82"/>
        <v>0.059999999999999998</v>
      </c>
      <c s="178">
        <f t="shared" si="82"/>
        <v>0.069999999999999993</v>
      </c>
      <c s="178">
        <f t="shared" si="82"/>
        <v>2.9199999999999999</v>
      </c>
      <c s="178">
        <f t="shared" si="82"/>
        <v>0.059999999999999998</v>
      </c>
      <c s="178">
        <f t="shared" si="82"/>
        <v>0.059999999999999998</v>
      </c>
      <c s="178">
        <f t="shared" si="82"/>
        <v>27.539999999999999</v>
      </c>
      <c s="178">
        <f t="shared" si="82"/>
        <v>65.670000000000002</v>
      </c>
      <c s="178">
        <f t="shared" si="82"/>
        <v>0.017000000000000001</v>
      </c>
      <c s="178">
        <f t="shared" si="82"/>
        <v>0</v>
      </c>
      <c s="178">
        <f t="shared" si="82"/>
        <v>13.51</v>
      </c>
      <c s="178">
        <f t="shared" si="82"/>
        <v>1.5699999999999998</v>
      </c>
    </row>
    <row r="353" spans="2:20" ht="15" customHeight="1">
      <c r="B353" s="343" t="s">
        <v>226</v>
      </c>
      <c s="343"/>
      <c s="343"/>
      <c s="343"/>
      <c s="179">
        <f>F352/F355</f>
        <v>0.080649350649350651</v>
      </c>
      <c s="179">
        <f t="shared" si="83" ref="G353:T353">G352/G355</f>
        <v>0.077341772151898733</v>
      </c>
      <c s="179">
        <f t="shared" si="83"/>
        <v>0.15952238805970148</v>
      </c>
      <c s="179">
        <f t="shared" si="83"/>
        <v>0.12494042553191489</v>
      </c>
      <c s="179">
        <f t="shared" si="83"/>
        <v>0.050000000000000003</v>
      </c>
      <c s="179">
        <f t="shared" si="83"/>
        <v>0.049999999999999996</v>
      </c>
      <c s="179">
        <f t="shared" si="83"/>
        <v>0.048666666666666664</v>
      </c>
      <c s="179">
        <f t="shared" si="83"/>
        <v>0.085714285714285715</v>
      </c>
      <c s="179">
        <f t="shared" si="83"/>
        <v>0.0060000000000000001</v>
      </c>
      <c s="179">
        <f t="shared" si="83"/>
        <v>0.025036363636363634</v>
      </c>
      <c s="179">
        <f t="shared" si="83"/>
        <v>0.059700000000000003</v>
      </c>
      <c s="179">
        <f t="shared" si="83"/>
        <v>0.0017000000000000001</v>
      </c>
      <c s="179">
        <f t="shared" si="83"/>
        <v>0</v>
      </c>
      <c s="179">
        <f t="shared" si="83"/>
        <v>0.054039999999999998</v>
      </c>
      <c s="179">
        <f t="shared" si="83"/>
        <v>0.13083333333333333</v>
      </c>
    </row>
    <row r="354" spans="2:20" ht="15" customHeight="1">
      <c r="B354" s="343" t="s">
        <v>241</v>
      </c>
      <c s="343"/>
      <c s="343"/>
      <c s="343"/>
      <c s="178">
        <f>F352+F347+F337</f>
        <v>62.259999999999991</v>
      </c>
      <c s="178">
        <f t="shared" si="84" ref="G354:T354">G352+G347+G337</f>
        <v>65.200000000000003</v>
      </c>
      <c s="178">
        <f t="shared" si="84"/>
        <v>198.67000000000002</v>
      </c>
      <c s="178">
        <f t="shared" si="84"/>
        <v>1634.23</v>
      </c>
      <c s="178">
        <f t="shared" si="84"/>
        <v>0.71999999999999997</v>
      </c>
      <c s="178">
        <f t="shared" si="84"/>
        <v>1.143</v>
      </c>
      <c s="178">
        <f t="shared" si="84"/>
        <v>90.95999999999998</v>
      </c>
      <c s="178">
        <f t="shared" si="84"/>
        <v>0.38</v>
      </c>
      <c s="178">
        <f t="shared" si="84"/>
        <v>7.0815999999999999</v>
      </c>
      <c s="178">
        <f t="shared" si="84"/>
        <v>528.91000000000008</v>
      </c>
      <c s="178">
        <f t="shared" si="84"/>
        <v>985.83999999999992</v>
      </c>
      <c s="178">
        <f t="shared" si="84"/>
        <v>4.25</v>
      </c>
      <c s="178">
        <f t="shared" si="84"/>
        <v>0.093399999999999997</v>
      </c>
      <c s="178">
        <f t="shared" si="84"/>
        <v>251.69999999999999</v>
      </c>
      <c s="178">
        <f t="shared" si="84"/>
        <v>16.590000000000003</v>
      </c>
    </row>
    <row r="355" spans="2:20" ht="15" customHeight="1">
      <c r="B355" s="343" t="s">
        <v>242</v>
      </c>
      <c s="343"/>
      <c s="343"/>
      <c s="343"/>
      <c s="173">
        <v>77</v>
      </c>
      <c s="173">
        <v>79</v>
      </c>
      <c s="173">
        <v>335</v>
      </c>
      <c s="173">
        <v>2350</v>
      </c>
      <c s="173">
        <v>1.2</v>
      </c>
      <c s="173">
        <v>1.3999999999999999</v>
      </c>
      <c s="173">
        <v>60</v>
      </c>
      <c s="173">
        <v>0.69999999999999996</v>
      </c>
      <c s="173">
        <v>10</v>
      </c>
      <c s="173">
        <v>1100</v>
      </c>
      <c s="173">
        <v>1100</v>
      </c>
      <c s="173">
        <v>10</v>
      </c>
      <c s="173">
        <v>0.10000000000000001</v>
      </c>
      <c s="173">
        <v>250</v>
      </c>
      <c s="173">
        <v>12</v>
      </c>
    </row>
    <row r="356" spans="2:20" ht="15" customHeight="1" thickBot="1">
      <c r="B356" s="346" t="s">
        <v>226</v>
      </c>
      <c s="346"/>
      <c s="346"/>
      <c s="346"/>
      <c s="254">
        <f>F354/F355</f>
        <v>0.8085714285714285</v>
      </c>
      <c s="254">
        <f t="shared" si="85" ref="G356:T356">G354/G355</f>
        <v>0.8253164556962026</v>
      </c>
      <c s="254">
        <f t="shared" si="85"/>
        <v>0.59304477611940298</v>
      </c>
      <c s="254">
        <f t="shared" si="85"/>
        <v>0.69541702127659577</v>
      </c>
      <c s="254">
        <f t="shared" si="85"/>
        <v>0.59999999999999998</v>
      </c>
      <c s="254">
        <f t="shared" si="85"/>
        <v>0.8164285714285715</v>
      </c>
      <c s="254">
        <f t="shared" si="85"/>
        <v>1.5159999999999996</v>
      </c>
      <c s="254">
        <f t="shared" si="85"/>
        <v>0.54285714285714293</v>
      </c>
      <c s="254">
        <f t="shared" si="85"/>
        <v>0.70816000000000001</v>
      </c>
      <c s="254">
        <f t="shared" si="85"/>
        <v>0.48082727272727283</v>
      </c>
      <c s="254">
        <f t="shared" si="85"/>
        <v>0.89621818181818169</v>
      </c>
      <c s="254">
        <f t="shared" si="85"/>
        <v>0.42499999999999999</v>
      </c>
      <c s="254">
        <f t="shared" si="85"/>
        <v>0.93399999999999994</v>
      </c>
      <c s="254">
        <f t="shared" si="85"/>
        <v>1.0067999999999999</v>
      </c>
      <c s="254">
        <f t="shared" si="85"/>
        <v>1.3825000000000003</v>
      </c>
    </row>
    <row r="357" spans="2:20" ht="15.75" thickTop="1">
      <c r="B357" s="347" t="s">
        <v>295</v>
      </c>
      <c s="347"/>
      <c s="347"/>
      <c s="347"/>
      <c s="255">
        <f t="shared" si="86" ref="F357:T357">(F198+F233+F266+F302+F337)/5</f>
        <v>20.367999999999999</v>
      </c>
      <c s="255">
        <f t="shared" si="86"/>
        <v>23.469999999999999</v>
      </c>
      <c s="255">
        <f t="shared" si="86"/>
        <v>77.114000000000004</v>
      </c>
      <c s="255">
        <f t="shared" si="86"/>
        <v>588.99399999999991</v>
      </c>
      <c s="255">
        <f t="shared" si="86"/>
        <v>0.28139999999999998</v>
      </c>
      <c s="255">
        <f t="shared" si="86"/>
        <v>0.38180000000000003</v>
      </c>
      <c s="255">
        <f t="shared" si="86"/>
        <v>35.531999999999996</v>
      </c>
      <c s="255">
        <f t="shared" si="86"/>
        <v>0.13486000000000001</v>
      </c>
      <c s="255">
        <f t="shared" si="86"/>
        <v>1.927</v>
      </c>
      <c s="255">
        <f t="shared" si="86"/>
        <v>248.46400000000003</v>
      </c>
      <c s="255">
        <f t="shared" si="86"/>
        <v>380.10399999999998</v>
      </c>
      <c s="255">
        <f t="shared" si="86"/>
        <v>1.6681999999999999</v>
      </c>
      <c s="255">
        <f t="shared" si="86"/>
        <v>0.0356</v>
      </c>
      <c s="255">
        <f t="shared" si="86"/>
        <v>74.518000000000001</v>
      </c>
      <c s="255">
        <f t="shared" si="86"/>
        <v>4.5580000000000007</v>
      </c>
    </row>
    <row r="358" spans="2:20" ht="15">
      <c r="B358" s="343" t="s">
        <v>242</v>
      </c>
      <c s="343"/>
      <c s="343"/>
      <c s="343"/>
      <c s="173">
        <v>77</v>
      </c>
      <c s="173">
        <v>79</v>
      </c>
      <c s="173">
        <v>335</v>
      </c>
      <c s="173">
        <v>2350</v>
      </c>
      <c s="173">
        <v>1.2</v>
      </c>
      <c s="173">
        <v>1.3999999999999999</v>
      </c>
      <c s="173">
        <v>60</v>
      </c>
      <c s="173">
        <v>0.69999999999999996</v>
      </c>
      <c s="173">
        <v>10</v>
      </c>
      <c s="173">
        <v>1100</v>
      </c>
      <c s="173">
        <v>1100</v>
      </c>
      <c s="173">
        <v>10</v>
      </c>
      <c s="173">
        <v>0.10000000000000001</v>
      </c>
      <c s="173">
        <v>250</v>
      </c>
      <c s="173">
        <v>12</v>
      </c>
    </row>
    <row r="359" spans="2:20" ht="15">
      <c r="B359" s="343" t="s">
        <v>226</v>
      </c>
      <c s="343"/>
      <c s="343"/>
      <c s="343"/>
      <c s="179">
        <f>F357/F358</f>
        <v>0.26451948051948049</v>
      </c>
      <c s="179">
        <f t="shared" si="87" ref="G359:T359">G357/G358</f>
        <v>0.29708860759493672</v>
      </c>
      <c s="179">
        <f t="shared" si="87"/>
        <v>0.2301910447761194</v>
      </c>
      <c s="179">
        <f t="shared" si="87"/>
        <v>0.25063574468085104</v>
      </c>
      <c s="179">
        <f t="shared" si="87"/>
        <v>0.23449999999999999</v>
      </c>
      <c s="179">
        <f t="shared" si="87"/>
        <v>0.27271428571428574</v>
      </c>
      <c s="179">
        <f t="shared" si="87"/>
        <v>0.59219999999999995</v>
      </c>
      <c s="179">
        <f t="shared" si="87"/>
        <v>0.19265714285714289</v>
      </c>
      <c s="179">
        <f t="shared" si="87"/>
        <v>0.19270000000000001</v>
      </c>
      <c s="179">
        <f t="shared" si="87"/>
        <v>0.22587636363636365</v>
      </c>
      <c s="179">
        <f t="shared" si="87"/>
        <v>0.34554909090909092</v>
      </c>
      <c s="179">
        <f t="shared" si="87"/>
        <v>0.16682</v>
      </c>
      <c s="179">
        <f t="shared" si="87"/>
        <v>0.35599999999999998</v>
      </c>
      <c s="179">
        <f t="shared" si="87"/>
        <v>0.298072</v>
      </c>
      <c s="179">
        <f t="shared" si="87"/>
        <v>0.37983333333333341</v>
      </c>
    </row>
    <row r="360" spans="2:20" ht="15">
      <c r="B360" s="343" t="s">
        <v>296</v>
      </c>
      <c s="343"/>
      <c s="343"/>
      <c s="343"/>
      <c s="202">
        <f t="shared" si="88" ref="F360:T360">(F337+F312+F276+F243+F209)/5</f>
        <v>28.692999999999994</v>
      </c>
      <c s="202">
        <f t="shared" si="88"/>
        <v>29.066199999999998</v>
      </c>
      <c s="202">
        <f t="shared" si="88"/>
        <v>74.543800000000005</v>
      </c>
      <c s="202">
        <f t="shared" si="88"/>
        <v>673.51599999999996</v>
      </c>
      <c s="202">
        <f t="shared" si="88"/>
        <v>0.52039999999999997</v>
      </c>
      <c s="202">
        <f t="shared" si="88"/>
        <v>0.48240000000000005</v>
      </c>
      <c s="202">
        <f t="shared" si="88"/>
        <v>38.840599999999995</v>
      </c>
      <c s="202">
        <f t="shared" si="88"/>
        <v>0.72164000000000006</v>
      </c>
      <c s="202">
        <f t="shared" si="88"/>
        <v>4.1414999999999997</v>
      </c>
      <c s="202">
        <f t="shared" si="88"/>
        <v>188.0556</v>
      </c>
      <c s="202">
        <f t="shared" si="88"/>
        <v>329.12419999999997</v>
      </c>
      <c s="202">
        <f t="shared" si="88"/>
        <v>2.4161999999999999</v>
      </c>
      <c s="202">
        <f t="shared" si="88"/>
        <v>0.021000000000000001</v>
      </c>
      <c s="202">
        <f t="shared" si="88"/>
        <v>86.173400000000015</v>
      </c>
      <c s="202">
        <f t="shared" si="88"/>
        <v>6.2699999999999996</v>
      </c>
    </row>
    <row r="361" spans="2:20" ht="15">
      <c r="B361" s="343" t="s">
        <v>242</v>
      </c>
      <c s="343"/>
      <c s="343"/>
      <c s="343"/>
      <c s="173">
        <v>77</v>
      </c>
      <c s="173">
        <v>79</v>
      </c>
      <c s="173">
        <v>335</v>
      </c>
      <c s="173">
        <v>2350</v>
      </c>
      <c s="173">
        <v>1.2</v>
      </c>
      <c s="173">
        <v>1.3999999999999999</v>
      </c>
      <c s="173">
        <v>60</v>
      </c>
      <c s="173">
        <v>0.69999999999999996</v>
      </c>
      <c s="173">
        <v>10</v>
      </c>
      <c s="173">
        <v>1100</v>
      </c>
      <c s="173">
        <v>1100</v>
      </c>
      <c s="173">
        <v>10</v>
      </c>
      <c s="173">
        <v>0.10000000000000001</v>
      </c>
      <c s="173">
        <v>250</v>
      </c>
      <c s="173">
        <v>12</v>
      </c>
    </row>
    <row r="362" spans="2:20" ht="15">
      <c r="B362" s="343" t="s">
        <v>226</v>
      </c>
      <c s="343"/>
      <c s="343"/>
      <c s="343"/>
      <c s="179">
        <f>F360/F361</f>
        <v>0.37263636363636354</v>
      </c>
      <c s="179">
        <f t="shared" si="89" ref="G362:T362">G360/G361</f>
        <v>0.36792658227848102</v>
      </c>
      <c s="179">
        <f t="shared" si="89"/>
        <v>0.22251880597014928</v>
      </c>
      <c s="179">
        <f t="shared" si="89"/>
        <v>0.28660255319148936</v>
      </c>
      <c s="179">
        <f t="shared" si="89"/>
        <v>0.43366666666666664</v>
      </c>
      <c s="179">
        <f t="shared" si="89"/>
        <v>0.34457142857142864</v>
      </c>
      <c s="179">
        <f t="shared" si="89"/>
        <v>0.64734333333333327</v>
      </c>
      <c s="179">
        <f t="shared" si="89"/>
        <v>1.0309142857142859</v>
      </c>
      <c s="179">
        <f t="shared" si="89"/>
        <v>0.41414999999999996</v>
      </c>
      <c s="179">
        <f t="shared" si="89"/>
        <v>0.17095963636363637</v>
      </c>
      <c s="179">
        <f t="shared" si="89"/>
        <v>0.29920381818181818</v>
      </c>
      <c s="179">
        <f t="shared" si="89"/>
        <v>0.24162</v>
      </c>
      <c s="179">
        <f t="shared" si="89"/>
        <v>0.20999999999999999</v>
      </c>
      <c s="179">
        <f t="shared" si="89"/>
        <v>0.34469360000000004</v>
      </c>
      <c s="179">
        <f t="shared" si="89"/>
        <v>0.52249999999999996</v>
      </c>
    </row>
    <row r="363" spans="2:20" ht="15">
      <c r="B363" s="343" t="s">
        <v>297</v>
      </c>
      <c s="343"/>
      <c s="343"/>
      <c s="343"/>
      <c s="202">
        <f t="shared" si="90" ref="F363:T363">(F214+F248+F281+F317+F352)/5</f>
        <v>7.5800000000000001</v>
      </c>
      <c s="202">
        <f t="shared" si="90"/>
        <v>6.3959999999999999</v>
      </c>
      <c s="202">
        <f t="shared" si="90"/>
        <v>62.519999999999996</v>
      </c>
      <c s="202">
        <f t="shared" si="90"/>
        <v>337.46400000000006</v>
      </c>
      <c s="202">
        <f t="shared" si="90"/>
        <v>0.084000000000000005</v>
      </c>
      <c s="202">
        <f t="shared" si="90"/>
        <v>0.08199999999999999</v>
      </c>
      <c s="202">
        <f t="shared" si="90"/>
        <v>2.504</v>
      </c>
      <c s="202">
        <f t="shared" si="90"/>
        <v>0.084020000000000011</v>
      </c>
      <c s="202">
        <f t="shared" si="90"/>
        <v>0.020999999999999998</v>
      </c>
      <c s="202">
        <f t="shared" si="90"/>
        <v>40.238000000000007</v>
      </c>
      <c s="202">
        <f t="shared" si="90"/>
        <v>57.039999999999999</v>
      </c>
      <c s="202">
        <f t="shared" si="90"/>
        <v>0.0050000000000000001</v>
      </c>
      <c s="202">
        <f t="shared" si="90"/>
        <v>0</v>
      </c>
      <c s="202">
        <f t="shared" si="90"/>
        <v>15.594000000000003</v>
      </c>
      <c s="202">
        <f t="shared" si="90"/>
        <v>1.5080000000000002</v>
      </c>
    </row>
    <row r="364" spans="2:20" ht="15">
      <c r="B364" s="343" t="s">
        <v>242</v>
      </c>
      <c s="343"/>
      <c s="343"/>
      <c s="343"/>
      <c s="173">
        <v>77</v>
      </c>
      <c s="173">
        <v>79</v>
      </c>
      <c s="173">
        <v>335</v>
      </c>
      <c s="173">
        <v>2350</v>
      </c>
      <c s="173">
        <v>1.2</v>
      </c>
      <c s="173">
        <v>1.3999999999999999</v>
      </c>
      <c s="173">
        <v>60</v>
      </c>
      <c s="173">
        <v>0.69999999999999996</v>
      </c>
      <c s="173">
        <v>10</v>
      </c>
      <c s="173">
        <v>1100</v>
      </c>
      <c s="173">
        <v>1100</v>
      </c>
      <c s="173">
        <v>10</v>
      </c>
      <c s="173">
        <v>0.10000000000000001</v>
      </c>
      <c s="173">
        <v>250</v>
      </c>
      <c s="173">
        <v>12</v>
      </c>
    </row>
    <row r="365" spans="2:20" ht="15">
      <c r="B365" s="343" t="s">
        <v>226</v>
      </c>
      <c s="343"/>
      <c s="343"/>
      <c s="343"/>
      <c s="179">
        <f>F363/F364</f>
        <v>0.098441558441558441</v>
      </c>
      <c s="179">
        <f t="shared" si="91" ref="G365:T365">G363/G364</f>
        <v>0.080962025316455702</v>
      </c>
      <c s="179">
        <f t="shared" si="91"/>
        <v>0.18662686567164177</v>
      </c>
      <c s="179">
        <f t="shared" si="91"/>
        <v>0.1436017021276596</v>
      </c>
      <c s="179">
        <f t="shared" si="91"/>
        <v>0.070000000000000007</v>
      </c>
      <c s="179">
        <f t="shared" si="91"/>
        <v>0.058571428571428566</v>
      </c>
      <c s="179">
        <f t="shared" si="91"/>
        <v>0.041733333333333331</v>
      </c>
      <c s="179">
        <f t="shared" si="91"/>
        <v>0.12002857142857146</v>
      </c>
      <c s="179">
        <f t="shared" si="91"/>
        <v>0.0020999999999999999</v>
      </c>
      <c s="179">
        <f t="shared" si="91"/>
        <v>0.036580000000000008</v>
      </c>
      <c s="179">
        <f t="shared" si="91"/>
        <v>0.051854545454545452</v>
      </c>
      <c s="179">
        <f t="shared" si="91"/>
        <v>0.00050000000000000001</v>
      </c>
      <c s="179">
        <f t="shared" si="91"/>
        <v>0</v>
      </c>
      <c s="179">
        <f t="shared" si="91"/>
        <v>0.062376000000000015</v>
      </c>
      <c s="179">
        <f t="shared" si="91"/>
        <v>0.12566666666666668</v>
      </c>
    </row>
    <row r="366" spans="2:20" ht="15">
      <c r="B366" s="343" t="s">
        <v>328</v>
      </c>
      <c s="343"/>
      <c s="343"/>
      <c s="343"/>
      <c s="202">
        <f>F357+F360+F363</f>
        <v>56.640999999999991</v>
      </c>
      <c s="202">
        <f t="shared" si="92" ref="G366:T366">G357+G360+G363</f>
        <v>58.932199999999995</v>
      </c>
      <c s="202">
        <f t="shared" si="92"/>
        <v>214.17779999999999</v>
      </c>
      <c s="202">
        <f t="shared" si="92"/>
        <v>1599.9739999999997</v>
      </c>
      <c s="202">
        <f t="shared" si="92"/>
        <v>0.88579999999999992</v>
      </c>
      <c s="202">
        <f t="shared" si="92"/>
        <v>0.94620000000000004</v>
      </c>
      <c s="202">
        <f t="shared" si="92"/>
        <v>76.876599999999996</v>
      </c>
      <c s="202">
        <f t="shared" si="92"/>
        <v>0.94052000000000002</v>
      </c>
      <c s="202">
        <f t="shared" si="92"/>
        <v>6.0895000000000001</v>
      </c>
      <c s="202">
        <f t="shared" si="92"/>
        <v>476.75760000000002</v>
      </c>
      <c s="202">
        <f t="shared" si="92"/>
        <v>766.26819999999998</v>
      </c>
      <c s="202">
        <f t="shared" si="92"/>
        <v>4.0893999999999995</v>
      </c>
      <c s="202">
        <f t="shared" si="92"/>
        <v>0.056599999999999998</v>
      </c>
      <c s="202">
        <f t="shared" si="92"/>
        <v>176.28540000000001</v>
      </c>
      <c s="202">
        <f t="shared" si="92"/>
        <v>12.336</v>
      </c>
    </row>
    <row r="367" spans="2:20" ht="15">
      <c r="B367" s="343" t="s">
        <v>242</v>
      </c>
      <c s="343"/>
      <c s="343"/>
      <c s="343"/>
      <c s="173">
        <v>77</v>
      </c>
      <c s="173">
        <v>79</v>
      </c>
      <c s="173">
        <v>335</v>
      </c>
      <c s="173">
        <v>2350</v>
      </c>
      <c s="173">
        <v>1.2</v>
      </c>
      <c s="173">
        <v>1.3999999999999999</v>
      </c>
      <c s="173">
        <v>60</v>
      </c>
      <c s="173">
        <v>0.69999999999999996</v>
      </c>
      <c s="173">
        <v>10</v>
      </c>
      <c s="173">
        <v>1100</v>
      </c>
      <c s="173">
        <v>1100</v>
      </c>
      <c s="173">
        <v>10</v>
      </c>
      <c s="173">
        <v>0.10000000000000001</v>
      </c>
      <c s="173">
        <v>250</v>
      </c>
      <c s="173">
        <v>12</v>
      </c>
    </row>
    <row r="368" spans="2:20" ht="15">
      <c r="B368" s="343" t="s">
        <v>226</v>
      </c>
      <c s="343"/>
      <c s="343"/>
      <c s="343"/>
      <c s="179">
        <f>F366/F367</f>
        <v>0.73559740259740247</v>
      </c>
      <c s="179">
        <f t="shared" si="93" ref="G368:O368">G366/G367</f>
        <v>0.74597721518987337</v>
      </c>
      <c s="179">
        <f t="shared" si="93"/>
        <v>0.63933671641791046</v>
      </c>
      <c s="179">
        <f t="shared" si="93"/>
        <v>0.68083999999999989</v>
      </c>
      <c s="179">
        <f t="shared" si="93"/>
        <v>0.73816666666666664</v>
      </c>
      <c s="179">
        <f t="shared" si="93"/>
        <v>0.67585714285714293</v>
      </c>
      <c s="179">
        <f t="shared" si="93"/>
        <v>1.2812766666666666</v>
      </c>
      <c s="179">
        <f t="shared" si="93"/>
        <v>1.3436000000000001</v>
      </c>
      <c s="179">
        <f t="shared" si="93"/>
        <v>0.60894999999999999</v>
      </c>
      <c s="179">
        <f t="shared" si="93"/>
        <v>0.43341600000000002</v>
      </c>
      <c s="179">
        <f>P366/P367</f>
        <v>0.69660745454545447</v>
      </c>
      <c s="179">
        <f t="shared" si="94" ref="Q368:T368">Q366/Q367</f>
        <v>0.40893999999999997</v>
      </c>
      <c s="179">
        <f t="shared" si="94"/>
        <v>0.56599999999999995</v>
      </c>
      <c s="179">
        <f t="shared" si="94"/>
        <v>0.70514160000000004</v>
      </c>
      <c s="179">
        <f t="shared" si="94"/>
        <v>1.028</v>
      </c>
    </row>
  </sheetData>
  <mergeCells count="445">
    <mergeCell ref="M1:T1"/>
    <mergeCell ref="B2:T2"/>
    <mergeCell ref="B3:C3"/>
    <mergeCell ref="G3:I3"/>
    <mergeCell ref="L3:M3"/>
    <mergeCell ref="N3:Q3"/>
    <mergeCell ref="C7:D7"/>
    <mergeCell ref="B8:T8"/>
    <mergeCell ref="C9:D9"/>
    <mergeCell ref="C10:D10"/>
    <mergeCell ref="C11:D11"/>
    <mergeCell ref="C12:D12"/>
    <mergeCell ref="B4:D4"/>
    <mergeCell ref="E4:F4"/>
    <mergeCell ref="L4:M4"/>
    <mergeCell ref="N4:T4"/>
    <mergeCell ref="B5:B6"/>
    <mergeCell ref="C5:D6"/>
    <mergeCell ref="E5:E6"/>
    <mergeCell ref="F5:H5"/>
    <mergeCell ref="J5:N5"/>
    <mergeCell ref="O5:T5"/>
    <mergeCell ref="C20:D20"/>
    <mergeCell ref="C21:D21"/>
    <mergeCell ref="C22:D22"/>
    <mergeCell ref="C23:D23"/>
    <mergeCell ref="C24:D24"/>
    <mergeCell ref="C25:D25"/>
    <mergeCell ref="C13:D13"/>
    <mergeCell ref="B14:D14"/>
    <mergeCell ref="B15:E15"/>
    <mergeCell ref="B17:T17"/>
    <mergeCell ref="C18:D18"/>
    <mergeCell ref="C19:D19"/>
    <mergeCell ref="B32:E32"/>
    <mergeCell ref="B33:E33"/>
    <mergeCell ref="B34:E34"/>
    <mergeCell ref="B35:E35"/>
    <mergeCell ref="B36:E36"/>
    <mergeCell ref="M37:T37"/>
    <mergeCell ref="B26:D26"/>
    <mergeCell ref="B27:E27"/>
    <mergeCell ref="B28:T28"/>
    <mergeCell ref="C29:D29"/>
    <mergeCell ref="C30:D30"/>
    <mergeCell ref="B31:D31"/>
    <mergeCell ref="C41:D42"/>
    <mergeCell ref="E41:E42"/>
    <mergeCell ref="F41:H41"/>
    <mergeCell ref="J41:N41"/>
    <mergeCell ref="O41:T41"/>
    <mergeCell ref="C43:D43"/>
    <mergeCell ref="B38:T38"/>
    <mergeCell ref="B39:C39"/>
    <mergeCell ref="G39:I39"/>
    <mergeCell ref="L39:M39"/>
    <mergeCell ref="N39:Q39"/>
    <mergeCell ref="E40:F40"/>
    <mergeCell ref="L40:M40"/>
    <mergeCell ref="N40:T40"/>
    <mergeCell ref="C50:D50"/>
    <mergeCell ref="B52:E52"/>
    <mergeCell ref="B53:T53"/>
    <mergeCell ref="C54:D54"/>
    <mergeCell ref="C55:D55"/>
    <mergeCell ref="C56:D56"/>
    <mergeCell ref="B44:T44"/>
    <mergeCell ref="C45:D45"/>
    <mergeCell ref="C46:D46"/>
    <mergeCell ref="C47:D47"/>
    <mergeCell ref="C48:D48"/>
    <mergeCell ref="C49:D49"/>
    <mergeCell ref="B63:T63"/>
    <mergeCell ref="C64:D64"/>
    <mergeCell ref="C65:D65"/>
    <mergeCell ref="B66:D66"/>
    <mergeCell ref="B67:E67"/>
    <mergeCell ref="B68:E68"/>
    <mergeCell ref="C57:D57"/>
    <mergeCell ref="C58:D58"/>
    <mergeCell ref="C59:D59"/>
    <mergeCell ref="C60:D60"/>
    <mergeCell ref="B61:D61"/>
    <mergeCell ref="B62:E62"/>
    <mergeCell ref="E75:F75"/>
    <mergeCell ref="L75:M75"/>
    <mergeCell ref="N75:T75"/>
    <mergeCell ref="C76:D77"/>
    <mergeCell ref="E76:E77"/>
    <mergeCell ref="F76:H76"/>
    <mergeCell ref="J76:N76"/>
    <mergeCell ref="O76:T76"/>
    <mergeCell ref="B69:E69"/>
    <mergeCell ref="B70:E70"/>
    <mergeCell ref="B71:I71"/>
    <mergeCell ref="M71:T71"/>
    <mergeCell ref="B73:T73"/>
    <mergeCell ref="B74:C74"/>
    <mergeCell ref="G74:I74"/>
    <mergeCell ref="L74:M74"/>
    <mergeCell ref="N74:Q74"/>
    <mergeCell ref="C84:D84"/>
    <mergeCell ref="C85:D85"/>
    <mergeCell ref="B86:D86"/>
    <mergeCell ref="B87:E87"/>
    <mergeCell ref="B88:T88"/>
    <mergeCell ref="C89:D89"/>
    <mergeCell ref="C78:D78"/>
    <mergeCell ref="B79:T79"/>
    <mergeCell ref="C80:D80"/>
    <mergeCell ref="C81:D81"/>
    <mergeCell ref="C82:D82"/>
    <mergeCell ref="C83:D83"/>
    <mergeCell ref="B96:D96"/>
    <mergeCell ref="B97:E97"/>
    <mergeCell ref="B98:T98"/>
    <mergeCell ref="C99:D99"/>
    <mergeCell ref="C100:D100"/>
    <mergeCell ref="B102:E102"/>
    <mergeCell ref="C90:D90"/>
    <mergeCell ref="C91:D91"/>
    <mergeCell ref="C92:D92"/>
    <mergeCell ref="C93:D93"/>
    <mergeCell ref="C94:D94"/>
    <mergeCell ref="C95:D95"/>
    <mergeCell ref="E109:F109"/>
    <mergeCell ref="L109:M109"/>
    <mergeCell ref="N109:T109"/>
    <mergeCell ref="C110:D111"/>
    <mergeCell ref="E110:E111"/>
    <mergeCell ref="F110:H110"/>
    <mergeCell ref="J110:N110"/>
    <mergeCell ref="O110:T110"/>
    <mergeCell ref="B103:E103"/>
    <mergeCell ref="B104:E104"/>
    <mergeCell ref="B105:E105"/>
    <mergeCell ref="M106:T106"/>
    <mergeCell ref="B107:T107"/>
    <mergeCell ref="B108:C108"/>
    <mergeCell ref="G108:I108"/>
    <mergeCell ref="L108:M108"/>
    <mergeCell ref="N108:Q108"/>
    <mergeCell ref="C118:D118"/>
    <mergeCell ref="B120:E120"/>
    <mergeCell ref="B121:T121"/>
    <mergeCell ref="C122:D122"/>
    <mergeCell ref="C123:D123"/>
    <mergeCell ref="C124:D124"/>
    <mergeCell ref="C112:D112"/>
    <mergeCell ref="B113:T113"/>
    <mergeCell ref="C114:D114"/>
    <mergeCell ref="C115:D115"/>
    <mergeCell ref="C116:D116"/>
    <mergeCell ref="C117:D117"/>
    <mergeCell ref="B131:T131"/>
    <mergeCell ref="C132:D132"/>
    <mergeCell ref="C133:D133"/>
    <mergeCell ref="B134:D134"/>
    <mergeCell ref="B135:E135"/>
    <mergeCell ref="B136:E136"/>
    <mergeCell ref="C125:D125"/>
    <mergeCell ref="C126:D126"/>
    <mergeCell ref="C127:D127"/>
    <mergeCell ref="C128:D128"/>
    <mergeCell ref="B129:D129"/>
    <mergeCell ref="B130:E130"/>
    <mergeCell ref="E142:F142"/>
    <mergeCell ref="L142:M142"/>
    <mergeCell ref="N142:T142"/>
    <mergeCell ref="C143:D144"/>
    <mergeCell ref="E143:E144"/>
    <mergeCell ref="F143:H143"/>
    <mergeCell ref="J143:N143"/>
    <mergeCell ref="O143:T143"/>
    <mergeCell ref="B137:E137"/>
    <mergeCell ref="B138:E138"/>
    <mergeCell ref="M139:T139"/>
    <mergeCell ref="B140:T140"/>
    <mergeCell ref="B141:C141"/>
    <mergeCell ref="G141:I141"/>
    <mergeCell ref="L141:M141"/>
    <mergeCell ref="N141:Q141"/>
    <mergeCell ref="B153:D153"/>
    <mergeCell ref="B154:E154"/>
    <mergeCell ref="B155:T155"/>
    <mergeCell ref="C156:D156"/>
    <mergeCell ref="C157:D157"/>
    <mergeCell ref="C158:D158"/>
    <mergeCell ref="C145:D145"/>
    <mergeCell ref="B146:T146"/>
    <mergeCell ref="C149:D149"/>
    <mergeCell ref="C150:D150"/>
    <mergeCell ref="C151:D151"/>
    <mergeCell ref="C152:D152"/>
    <mergeCell ref="B165:T165"/>
    <mergeCell ref="C166:D166"/>
    <mergeCell ref="C167:D167"/>
    <mergeCell ref="B168:D168"/>
    <mergeCell ref="B169:E169"/>
    <mergeCell ref="B170:E170"/>
    <mergeCell ref="C159:D159"/>
    <mergeCell ref="C160:D160"/>
    <mergeCell ref="C161:D161"/>
    <mergeCell ref="C162:D162"/>
    <mergeCell ref="B163:D163"/>
    <mergeCell ref="B164:E164"/>
    <mergeCell ref="B177:E177"/>
    <mergeCell ref="B178:E178"/>
    <mergeCell ref="B179:E179"/>
    <mergeCell ref="B180:E180"/>
    <mergeCell ref="B181:E181"/>
    <mergeCell ref="B182:E182"/>
    <mergeCell ref="B171:E171"/>
    <mergeCell ref="B172:E172"/>
    <mergeCell ref="B173:E173"/>
    <mergeCell ref="B174:E174"/>
    <mergeCell ref="B175:E175"/>
    <mergeCell ref="B176:E176"/>
    <mergeCell ref="E188:F188"/>
    <mergeCell ref="L188:M188"/>
    <mergeCell ref="N188:T188"/>
    <mergeCell ref="C189:D190"/>
    <mergeCell ref="E189:E190"/>
    <mergeCell ref="F189:H189"/>
    <mergeCell ref="J189:N189"/>
    <mergeCell ref="O189:T189"/>
    <mergeCell ref="B183:E183"/>
    <mergeCell ref="B184:E184"/>
    <mergeCell ref="M185:T185"/>
    <mergeCell ref="B186:T186"/>
    <mergeCell ref="B187:C187"/>
    <mergeCell ref="G187:I187"/>
    <mergeCell ref="L187:M187"/>
    <mergeCell ref="N187:Q187"/>
    <mergeCell ref="C197:D197"/>
    <mergeCell ref="B198:D198"/>
    <mergeCell ref="B199:E199"/>
    <mergeCell ref="B200:T200"/>
    <mergeCell ref="C201:D201"/>
    <mergeCell ref="C202:D202"/>
    <mergeCell ref="C191:D191"/>
    <mergeCell ref="B192:T192"/>
    <mergeCell ref="C193:D193"/>
    <mergeCell ref="C194:D194"/>
    <mergeCell ref="C195:D195"/>
    <mergeCell ref="C196:D196"/>
    <mergeCell ref="B209:D209"/>
    <mergeCell ref="B210:E210"/>
    <mergeCell ref="B211:T211"/>
    <mergeCell ref="C212:D212"/>
    <mergeCell ref="C213:D213"/>
    <mergeCell ref="B214:D214"/>
    <mergeCell ref="C203:D203"/>
    <mergeCell ref="C204:D204"/>
    <mergeCell ref="C205:D205"/>
    <mergeCell ref="C206:D206"/>
    <mergeCell ref="C207:D207"/>
    <mergeCell ref="C208:D208"/>
    <mergeCell ref="B221:C221"/>
    <mergeCell ref="G221:I221"/>
    <mergeCell ref="L221:M221"/>
    <mergeCell ref="N221:Q221"/>
    <mergeCell ref="E222:F222"/>
    <mergeCell ref="L222:M222"/>
    <mergeCell ref="N222:T222"/>
    <mergeCell ref="B215:E215"/>
    <mergeCell ref="B216:E216"/>
    <mergeCell ref="B217:E217"/>
    <mergeCell ref="B218:E218"/>
    <mergeCell ref="M219:T219"/>
    <mergeCell ref="B220:T220"/>
    <mergeCell ref="B226:T226"/>
    <mergeCell ref="C227:D227"/>
    <mergeCell ref="C228:D228"/>
    <mergeCell ref="C229:D229"/>
    <mergeCell ref="C230:D230"/>
    <mergeCell ref="C231:D231"/>
    <mergeCell ref="C223:D224"/>
    <mergeCell ref="E223:E224"/>
    <mergeCell ref="F223:H223"/>
    <mergeCell ref="J223:N223"/>
    <mergeCell ref="O223:T223"/>
    <mergeCell ref="C225:D225"/>
    <mergeCell ref="C238:D238"/>
    <mergeCell ref="C239:D239"/>
    <mergeCell ref="C240:D240"/>
    <mergeCell ref="C241:D241"/>
    <mergeCell ref="C242:D242"/>
    <mergeCell ref="B243:D243"/>
    <mergeCell ref="C232:D232"/>
    <mergeCell ref="B233:D233"/>
    <mergeCell ref="B234:E234"/>
    <mergeCell ref="B235:T235"/>
    <mergeCell ref="C236:D236"/>
    <mergeCell ref="C237:D237"/>
    <mergeCell ref="B250:E250"/>
    <mergeCell ref="B251:E251"/>
    <mergeCell ref="B252:E252"/>
    <mergeCell ref="B253:I253"/>
    <mergeCell ref="M253:T253"/>
    <mergeCell ref="B255:T255"/>
    <mergeCell ref="B244:E244"/>
    <mergeCell ref="B245:T245"/>
    <mergeCell ref="C246:D246"/>
    <mergeCell ref="C247:D247"/>
    <mergeCell ref="B248:D248"/>
    <mergeCell ref="B249:E249"/>
    <mergeCell ref="C258:D259"/>
    <mergeCell ref="E258:E259"/>
    <mergeCell ref="F258:H258"/>
    <mergeCell ref="J258:N258"/>
    <mergeCell ref="O258:T258"/>
    <mergeCell ref="C260:D260"/>
    <mergeCell ref="B256:C256"/>
    <mergeCell ref="G256:I256"/>
    <mergeCell ref="L256:M256"/>
    <mergeCell ref="N256:Q256"/>
    <mergeCell ref="E257:F257"/>
    <mergeCell ref="L257:M257"/>
    <mergeCell ref="N257:T257"/>
    <mergeCell ref="B266:D266"/>
    <mergeCell ref="B267:E267"/>
    <mergeCell ref="B268:T268"/>
    <mergeCell ref="C269:D269"/>
    <mergeCell ref="C270:D270"/>
    <mergeCell ref="C271:D271"/>
    <mergeCell ref="B261:T261"/>
    <mergeCell ref="C262:D262"/>
    <mergeCell ref="C263:D263"/>
    <mergeCell ref="C264:D264"/>
    <mergeCell ref="C265:D265"/>
    <mergeCell ref="B278:T278"/>
    <mergeCell ref="C279:D279"/>
    <mergeCell ref="C280:D280"/>
    <mergeCell ref="B281:D281"/>
    <mergeCell ref="B282:E282"/>
    <mergeCell ref="B283:E283"/>
    <mergeCell ref="C272:D272"/>
    <mergeCell ref="C273:D273"/>
    <mergeCell ref="C274:D274"/>
    <mergeCell ref="C275:D275"/>
    <mergeCell ref="B276:D276"/>
    <mergeCell ref="B277:E277"/>
    <mergeCell ref="E290:F290"/>
    <mergeCell ref="L290:M290"/>
    <mergeCell ref="N290:T290"/>
    <mergeCell ref="C291:D292"/>
    <mergeCell ref="E291:E292"/>
    <mergeCell ref="F291:H291"/>
    <mergeCell ref="J291:N291"/>
    <mergeCell ref="O291:T291"/>
    <mergeCell ref="B284:E284"/>
    <mergeCell ref="B285:E285"/>
    <mergeCell ref="B286:I286"/>
    <mergeCell ref="M286:T286"/>
    <mergeCell ref="B288:T288"/>
    <mergeCell ref="B289:C289"/>
    <mergeCell ref="G289:I289"/>
    <mergeCell ref="L289:M289"/>
    <mergeCell ref="N289:Q289"/>
    <mergeCell ref="C299:D299"/>
    <mergeCell ref="C300:D300"/>
    <mergeCell ref="C301:D301"/>
    <mergeCell ref="B303:E303"/>
    <mergeCell ref="B304:T304"/>
    <mergeCell ref="C305:D305"/>
    <mergeCell ref="C293:D293"/>
    <mergeCell ref="B294:T294"/>
    <mergeCell ref="C295:D295"/>
    <mergeCell ref="C296:D296"/>
    <mergeCell ref="C297:D297"/>
    <mergeCell ref="C298:D298"/>
    <mergeCell ref="B312:D312"/>
    <mergeCell ref="B313:E313"/>
    <mergeCell ref="B314:T314"/>
    <mergeCell ref="C315:D315"/>
    <mergeCell ref="C316:D316"/>
    <mergeCell ref="B317:D317"/>
    <mergeCell ref="C306:D306"/>
    <mergeCell ref="C307:D307"/>
    <mergeCell ref="C308:D308"/>
    <mergeCell ref="C309:D309"/>
    <mergeCell ref="C310:D310"/>
    <mergeCell ref="C311:D311"/>
    <mergeCell ref="B324:C324"/>
    <mergeCell ref="G324:I324"/>
    <mergeCell ref="L324:M324"/>
    <mergeCell ref="N324:Q324"/>
    <mergeCell ref="E325:F325"/>
    <mergeCell ref="L325:M325"/>
    <mergeCell ref="N325:T325"/>
    <mergeCell ref="B318:E318"/>
    <mergeCell ref="B319:E319"/>
    <mergeCell ref="B320:E320"/>
    <mergeCell ref="B321:E321"/>
    <mergeCell ref="M322:T322"/>
    <mergeCell ref="B323:T323"/>
    <mergeCell ref="B329:T329"/>
    <mergeCell ref="C332:D332"/>
    <mergeCell ref="C333:D333"/>
    <mergeCell ref="C334:D334"/>
    <mergeCell ref="C335:D335"/>
    <mergeCell ref="C336:D336"/>
    <mergeCell ref="C326:D327"/>
    <mergeCell ref="E326:E327"/>
    <mergeCell ref="F326:H326"/>
    <mergeCell ref="J326:N326"/>
    <mergeCell ref="O326:T326"/>
    <mergeCell ref="C328:D328"/>
    <mergeCell ref="C343:D343"/>
    <mergeCell ref="C344:D344"/>
    <mergeCell ref="C345:D345"/>
    <mergeCell ref="C346:D346"/>
    <mergeCell ref="B347:D347"/>
    <mergeCell ref="B348:E348"/>
    <mergeCell ref="B337:D337"/>
    <mergeCell ref="B338:E338"/>
    <mergeCell ref="B339:T339"/>
    <mergeCell ref="C340:D340"/>
    <mergeCell ref="C341:D341"/>
    <mergeCell ref="C342:D342"/>
    <mergeCell ref="B367:E367"/>
    <mergeCell ref="B368:E368"/>
    <mergeCell ref="C147:D147"/>
    <mergeCell ref="C148:D148"/>
    <mergeCell ref="C330:D330"/>
    <mergeCell ref="C331:D331"/>
    <mergeCell ref="B361:E361"/>
    <mergeCell ref="B362:E362"/>
    <mergeCell ref="B363:E363"/>
    <mergeCell ref="B364:E364"/>
    <mergeCell ref="B365:E365"/>
    <mergeCell ref="B366:E366"/>
    <mergeCell ref="B355:E355"/>
    <mergeCell ref="B356:E356"/>
    <mergeCell ref="B357:E357"/>
    <mergeCell ref="B358:E358"/>
    <mergeCell ref="B359:E359"/>
    <mergeCell ref="B360:E360"/>
    <mergeCell ref="B349:T349"/>
    <mergeCell ref="C350:D350"/>
    <mergeCell ref="C351:D351"/>
    <mergeCell ref="B352:D352"/>
    <mergeCell ref="B353:E353"/>
    <mergeCell ref="B354:E354"/>
  </mergeCells>
  <pageMargins left="0" right="0" top="0" bottom="0" header="0.31496062992126" footer="0.31496062992126"/>
  <pageSetup orientation="landscape" paperSize="9" scale="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нормы</vt:lpstr>
      <vt:lpstr>расчет сентябрь</vt:lpstr>
      <vt:lpstr>расчет весна</vt:lpstr>
      <vt:lpstr>меню 1-4 класс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Пользователь</cp:lastModifiedBy>
  <cp:lastPrinted>2023-08-22T11:52:07Z</cp:lastPrinted>
  <dcterms:created xsi:type="dcterms:W3CDTF">2015-06-05T18:19:34Z</dcterms:created>
  <dcterms:modified xsi:type="dcterms:W3CDTF">2025-04-10T18:55:56Z</dcterms:modified>
  <cp:category/>
</cp:coreProperties>
</file>